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Summary " sheetId="1" r:id="rId1"/>
    <sheet name="13815672" sheetId="2" r:id="rId2"/>
    <sheet name="13814657" sheetId="3" r:id="rId3"/>
    <sheet name="13810619" sheetId="4" r:id="rId4"/>
  </sheets>
  <calcPr calcId="181029"/>
</workbook>
</file>

<file path=xl/calcChain.xml><?xml version="1.0" encoding="utf-8"?>
<calcChain xmlns="http://schemas.openxmlformats.org/spreadsheetml/2006/main">
  <c r="G316" i="4" l="1"/>
  <c r="E316" i="4"/>
  <c r="K239" i="4"/>
  <c r="K238" i="4"/>
  <c r="K237" i="4"/>
  <c r="K236" i="4"/>
  <c r="K235" i="4"/>
  <c r="K234" i="4"/>
  <c r="K233" i="4"/>
  <c r="K232" i="4"/>
  <c r="K231" i="4"/>
  <c r="K230" i="4"/>
  <c r="K229" i="4"/>
  <c r="K228" i="4"/>
  <c r="K227" i="4"/>
  <c r="K226" i="4"/>
  <c r="K225" i="4"/>
  <c r="K224" i="4"/>
  <c r="K223" i="4"/>
  <c r="K222" i="4"/>
  <c r="K221" i="4"/>
  <c r="K220" i="4"/>
  <c r="K219" i="4"/>
  <c r="K218" i="4"/>
  <c r="K217" i="4"/>
  <c r="K216" i="4"/>
  <c r="K215" i="4"/>
  <c r="K214" i="4"/>
  <c r="K213" i="4"/>
  <c r="K212" i="4"/>
  <c r="K211" i="4"/>
  <c r="K210" i="4"/>
  <c r="K209" i="4"/>
  <c r="K208" i="4"/>
  <c r="K207" i="4"/>
  <c r="K206" i="4"/>
  <c r="K205" i="4"/>
  <c r="K204" i="4"/>
  <c r="K203" i="4"/>
  <c r="K202" i="4"/>
  <c r="K201" i="4"/>
  <c r="K200" i="4"/>
  <c r="K199" i="4"/>
  <c r="K198" i="4"/>
  <c r="K197" i="4"/>
  <c r="K196" i="4"/>
  <c r="K195" i="4"/>
  <c r="K194" i="4"/>
  <c r="K193" i="4"/>
  <c r="K192" i="4"/>
  <c r="K191" i="4"/>
  <c r="K190" i="4"/>
  <c r="K189" i="4"/>
  <c r="K188" i="4"/>
  <c r="K187" i="4"/>
  <c r="K186" i="4"/>
  <c r="K185" i="4"/>
  <c r="K184" i="4"/>
  <c r="K183" i="4"/>
  <c r="K182" i="4"/>
  <c r="K181" i="4"/>
  <c r="K180" i="4"/>
  <c r="K179" i="4"/>
  <c r="K178" i="4"/>
  <c r="K177" i="4"/>
  <c r="K176" i="4"/>
  <c r="K175" i="4"/>
  <c r="K174" i="4"/>
  <c r="K173" i="4"/>
  <c r="K172" i="4"/>
  <c r="K171" i="4"/>
  <c r="K170" i="4"/>
  <c r="K169" i="4"/>
  <c r="K168" i="4"/>
  <c r="K167" i="4"/>
  <c r="K166" i="4"/>
  <c r="K165" i="4"/>
  <c r="K164" i="4"/>
  <c r="K163" i="4"/>
  <c r="K162" i="4"/>
  <c r="K161" i="4"/>
  <c r="K160" i="4"/>
  <c r="K159" i="4"/>
  <c r="K158" i="4"/>
  <c r="K157" i="4"/>
  <c r="K156" i="4"/>
  <c r="K155" i="4"/>
  <c r="K154" i="4"/>
  <c r="K153" i="4"/>
  <c r="K152" i="4"/>
  <c r="K151" i="4"/>
  <c r="K150" i="4"/>
  <c r="K149" i="4"/>
  <c r="K148" i="4"/>
  <c r="K147" i="4"/>
  <c r="K146" i="4"/>
  <c r="K145" i="4"/>
  <c r="K144" i="4"/>
  <c r="K143" i="4"/>
  <c r="K142" i="4"/>
  <c r="K141" i="4"/>
  <c r="K140" i="4"/>
  <c r="K139" i="4"/>
  <c r="K138" i="4"/>
  <c r="K137" i="4"/>
  <c r="K136" i="4"/>
  <c r="K135" i="4"/>
  <c r="K134" i="4"/>
  <c r="K133" i="4"/>
  <c r="K132" i="4"/>
  <c r="K131" i="4"/>
  <c r="K130" i="4"/>
  <c r="K129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K3" i="4"/>
  <c r="K2" i="4"/>
  <c r="E416" i="3"/>
  <c r="G416" i="3"/>
  <c r="K305" i="3"/>
  <c r="K304" i="3"/>
  <c r="K303" i="3"/>
  <c r="K302" i="3"/>
  <c r="K301" i="3"/>
  <c r="K300" i="3"/>
  <c r="K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K2" i="3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2" i="2"/>
  <c r="E10" i="1"/>
  <c r="D10" i="1"/>
  <c r="C10" i="1"/>
</calcChain>
</file>

<file path=xl/sharedStrings.xml><?xml version="1.0" encoding="utf-8"?>
<sst xmlns="http://schemas.openxmlformats.org/spreadsheetml/2006/main" count="5725" uniqueCount="1306">
  <si>
    <t>Lacoste Legend 13 Square Supima Cotto Meteorite Washcloths</t>
  </si>
  <si>
    <t>Fairfield Square Collection Austin 6-Pc. Reversible Comfor Blue Twin</t>
  </si>
  <si>
    <t>Sunham T500 CVC Printed Queen Sheet S Blue Queen</t>
  </si>
  <si>
    <t>Sunham Paradise3 Coral K CS Coral King</t>
  </si>
  <si>
    <t>Fairfield Square Collection Aspen T1000 CVC King sheet set Blue King</t>
  </si>
  <si>
    <t>Sunham Sasha 3-Pc. Reversible Medalli Blue Multi FullQueen</t>
  </si>
  <si>
    <t>VCNY Home Casa Real Reversible 5-Pc. Fu Multi FullQueen</t>
  </si>
  <si>
    <t>VCNY Home Pandora Printed 72 x 72 Shower Aqua ONE SIZE</t>
  </si>
  <si>
    <t>VCNY Home VCNY Home London Floral Pintuc White King</t>
  </si>
  <si>
    <t>Hotel Collection Hotel Collection Luxury Down A White FullQueen</t>
  </si>
  <si>
    <t>Hotel Collection Step Up Down-Alternative Mediu White King</t>
  </si>
  <si>
    <t>Charter Club White Down Heavyweight FullQu White FullQueen</t>
  </si>
  <si>
    <t>Charter Club Firm King Down Pillow White King</t>
  </si>
  <si>
    <t>Miller Curtains Preston 48 x 108 Window Pane White 48x108</t>
  </si>
  <si>
    <t>Hotel Collection Turkish 13 Square Washcloth White Washcloths</t>
  </si>
  <si>
    <t>Charisma Luxe Zero Twist Bath Robe Blush LXL</t>
  </si>
  <si>
    <t>Pem America Stars Stripes 3-Pc. Reversib Navy Blue FullQueen</t>
  </si>
  <si>
    <t>Pem America Grace 3-Pc. Reversible Stripe Multi FullQueen</t>
  </si>
  <si>
    <t>Pem America Trinity 3-Pc. Reversible Medal Multi FullQueen</t>
  </si>
  <si>
    <t>Truly Soft Truly Soft Everyday White Full Ivory FullQueen</t>
  </si>
  <si>
    <t>Ella Jayne Memory Fiber Pillow 100 Cotto White Queen</t>
  </si>
  <si>
    <t>Elegant Comfort Elegant Comfort Luxury Soft St Grey Queen</t>
  </si>
  <si>
    <t>Elegant Comfort Elegant Comfort Luxury Super S Grey KingCalifornia King</t>
  </si>
  <si>
    <t>BESPOLITAN INC</t>
  </si>
  <si>
    <t>Blue Ridge Blue Ridge Reversible Down Alt Navylight Blue FullQueen</t>
  </si>
  <si>
    <t>Blue Ridge Blue Ridge Reversible Down Alt Burgundymauve King</t>
  </si>
  <si>
    <t>Royal Luxe Royal Luxe Microfiber Color Do Platinum King</t>
  </si>
  <si>
    <t>Royal Luxe Royal Luxe Microfiber Color Do Medium Blue Twin</t>
  </si>
  <si>
    <t>Serta White Goose Feather And Down F White</t>
  </si>
  <si>
    <t>Rio Home Fashions Rio Home Fashions Sleep Yoga S White</t>
  </si>
  <si>
    <t>Chic Home Chic Home Mayan 24-Pc. Queen B Beige Queen</t>
  </si>
  <si>
    <t>BGEOVERFLW</t>
  </si>
  <si>
    <t>Cathay Home Inc. Enzyme Washed Crinkle Quilt Se Mushroom KingCalifornia King</t>
  </si>
  <si>
    <t>Mon Lapin Powder Velvet Baby Blanket Powder</t>
  </si>
  <si>
    <t>ienjoy Home Solids in Style by The Home Co Ivory King</t>
  </si>
  <si>
    <t>Chic Home Chic Home Liberty 9-Pc. Full B Navy Full</t>
  </si>
  <si>
    <t>J Queen New York La Scala 18 Square Decorative Gold</t>
  </si>
  <si>
    <t>Lush Decor Ava Cotton 3-Piece FullQueen White FullQueen</t>
  </si>
  <si>
    <t>Lush Decor Ava Cotton 3-Piece FullQueen Navy FullQueen</t>
  </si>
  <si>
    <t>Morning Glamour King Single Header Bag-Silver Pink King Pillowcase</t>
  </si>
  <si>
    <t>Superior Superior Chevron Woven All Sea White King</t>
  </si>
  <si>
    <t>SUPERIOR/HOME CITY INC</t>
  </si>
  <si>
    <t>Roselli Trading Company Roselli Trading Company Housto White No Size</t>
  </si>
  <si>
    <t>Cathay Home Inc. Ultimate Luxury Reversible Mic Ivory Queen</t>
  </si>
  <si>
    <t>Cathay Home Inc. Ultimate Luxury Reversible Mic Camel King</t>
  </si>
  <si>
    <t>Microdry MICRODRY SpeedDry 21 x 34 Linen</t>
  </si>
  <si>
    <t>Tommy Bahama Home Woven Cotton FullQueen Blanke Beige FullQueen</t>
  </si>
  <si>
    <t>Tommy Bahama Home Tommy Bahama Pen and Ink Palm Dark Blue Queen</t>
  </si>
  <si>
    <t>Nautica Nautica Swale King Standard Sh Dark Blue King Sham</t>
  </si>
  <si>
    <t>ED Ellen Degeneres ED Ellen DeGeneres Printed Cot Cat King</t>
  </si>
  <si>
    <t>Nautica Saybrook 14 X 20 Throw Pillo Beige Throw</t>
  </si>
  <si>
    <t>Eclipse Presto Grommet Valance Spa 52x18</t>
  </si>
  <si>
    <t>Hotel Collection Ikat Stripe 14x26 Decorative P Cream Rectangle Decorative Pillow</t>
  </si>
  <si>
    <t>Sun Zero Sun Zero Evelina Faux Dupioni Blush Pink</t>
  </si>
  <si>
    <t>AQ Textiles Sullivan 1400 thread count 4 p Ivory King</t>
  </si>
  <si>
    <t>Hotel Collection Intersect Euro Sham, Created f Fresh White European Sham</t>
  </si>
  <si>
    <t>Mistletoe Farms Plush Flannel Robe - Adult Tartan Plaid SM</t>
  </si>
  <si>
    <t>Fireside Solid Sherpa Throw Red 50x60</t>
  </si>
  <si>
    <t>Drew Jonathan Home Cut Fur Solid Throw Black Throw</t>
  </si>
  <si>
    <t>BRENTWOOD ORIGINALS</t>
  </si>
  <si>
    <t>AQ Textiles Sullivan 1400 thread count 4 p Navy King</t>
  </si>
  <si>
    <t>Martha Stewart Collection Sweater Knit 20 x 20 Decorat Grey</t>
  </si>
  <si>
    <t>Trident Trident Melange Collection 3 P Daimi King</t>
  </si>
  <si>
    <t>TRIDENT GLOBAL INC</t>
  </si>
  <si>
    <t>Hotel Collection Burnish Silver Standard Sham, Silver Standard Sham</t>
  </si>
  <si>
    <t>Oake Geo Stitch European Sham, Crea Terracotta European Sham</t>
  </si>
  <si>
    <t>Martha Stewart Collection Nouveau Floral Velvet Twin Qui Blue Twin</t>
  </si>
  <si>
    <t>Martha Stewart Collection Nouveau Floral Velvet King Qui Blue King</t>
  </si>
  <si>
    <t>Truly Calm Truly Calm Cool Split King She Blue Split King</t>
  </si>
  <si>
    <t>Hotel Collection Ultimate MicroCotton 3-Pc. Ba White Towel Sets</t>
  </si>
  <si>
    <t>Martha Stewart Collection Lattice Faux Fur 50 X 60 Thr Ivory Throw</t>
  </si>
  <si>
    <t>Trend Lab Quatrefoil Owls Cotton Changin Coral 16 32</t>
  </si>
  <si>
    <t>TREND LAB LLC</t>
  </si>
  <si>
    <t>Nestl Bedding Super Soft Double Brushed Micr Charcoal Full</t>
  </si>
  <si>
    <t>Charter Club Holly Berries Cotton 4-Pc. Que Candy Cane Stripe Queen</t>
  </si>
  <si>
    <t>Charter Club 500-Thread Count Cotton Sateen Blue King</t>
  </si>
  <si>
    <t>VERSAILLES WSTE BSKT BASIC</t>
  </si>
  <si>
    <t>Tommy Bahama Home Tommy Bahama Pineapple Resort Palm Green FullQueen</t>
  </si>
  <si>
    <t>Charisma Terra King, California King 3 Beige King</t>
  </si>
  <si>
    <t>Anne Klein Anne Klein Solid 3-Piece Full Navy FullQueen</t>
  </si>
  <si>
    <t>Home Design Cotton Terry Robe, Created for White LXL</t>
  </si>
  <si>
    <t>Oake Geo Stitch Cotton FullQueen C Terracotta FullQueen</t>
  </si>
  <si>
    <t>Saro Lifestyle Saro Lifestyle Plus Sign Rever Black and White 23 x 16</t>
  </si>
  <si>
    <t>Hotel Collection Ripple FullQueen Duvet, Creat Blue FullQueen</t>
  </si>
  <si>
    <t>Charter Club 2 Pack Decorative Pillows, Cre Paris Decorative Pillow</t>
  </si>
  <si>
    <t>Oake Cotton Tencel 3 Pc. Bath Towel Ivory Towel Sets</t>
  </si>
  <si>
    <t>OAKE BATH/OAKE</t>
  </si>
  <si>
    <t>VCNY Home Snowflake 5 Piece Bath Set Grey</t>
  </si>
  <si>
    <t>Hotel Collection Ikat Stripe King Comforter, Cr Cream King</t>
  </si>
  <si>
    <t>The Mountain Home Collection LED Holiday 50 x 60 Throw Snowflake ONE SIZE</t>
  </si>
  <si>
    <t>Oake Geo Stitch European Sham, Crea Taupe European Sham</t>
  </si>
  <si>
    <t>Sunham Holiday Sentiments 8-Pc. Full Red Full</t>
  </si>
  <si>
    <t>Oake Cotton Tencel Solid 300-Thread Terracotta Queen</t>
  </si>
  <si>
    <t>Oake Colorblock 3-Pc. FullQueen Du Warm Combo FullQueen</t>
  </si>
  <si>
    <t>Anne Klein Oslo 5 Piece Comforter Set, Fu Charcoal FullQueen</t>
  </si>
  <si>
    <t>Hotel Collection Highlands Quilted King Sham, C Taupe King Sham</t>
  </si>
  <si>
    <t>Mickey Mouse MickeyMinnie Holiday 2-Pc. Tw Multi Twin</t>
  </si>
  <si>
    <t>The Mountain Home Collection Winter White Holiday 3PC King Whitegray King</t>
  </si>
  <si>
    <t>Hotel Collection Cotton 680 Thread Count Set of Tan King Pillowcase</t>
  </si>
  <si>
    <t>Hotel Collection Ornate Scroll Quilted Standard Ruby Standard Sham</t>
  </si>
  <si>
    <t>Morning Glamour Morning Glamour Satin Solid St Fuchsia Standard Pillowcase</t>
  </si>
  <si>
    <t>Hotel Collection Wavelet Standard Sham, Created Slate Standard Sham</t>
  </si>
  <si>
    <t>Charter Club Lace Medallion 3-Pc. King Comf White King</t>
  </si>
  <si>
    <t>Sun Zero Sun Zero Evelina Faux Dupioni Blush Pink 50x95</t>
  </si>
  <si>
    <t>Charter Club Buds Branches 3-Pc. FullQue Vintage Claret FullQueen</t>
  </si>
  <si>
    <t>Exclusive Home Exclusive Home Curtains Catari Dark Gray 108 Up</t>
  </si>
  <si>
    <t>ZURI FAUX FUR DEC PILLOW</t>
  </si>
  <si>
    <t>CosmoLiving CosmoLiving Cleo Ombre Shaggy Gray Twin</t>
  </si>
  <si>
    <t>Martha Stewart Collection Martha Stewart Collection Tomo Blue Multi 18 x 18</t>
  </si>
  <si>
    <t>SensorPEDIC CLOSEOUT Wave Foam Adjustable Gray Standard</t>
  </si>
  <si>
    <t>Addison Park Remy 14-Pc. King Comforter Set White King</t>
  </si>
  <si>
    <t>Martha Stewart Martha Stewart Premium Down Pi White Jumbo Size</t>
  </si>
  <si>
    <t>SensorPEDIC SensorPEDIC Electric Foot Warm Gray One Size Fits All</t>
  </si>
  <si>
    <t>MATTRESS TOPPER</t>
  </si>
  <si>
    <t>Natori Sokka 6-Pc. Twin Comforter Set Multi Twin</t>
  </si>
  <si>
    <t>Hotel Collection Ripple Full Queen Comforter, Blue FullQueen</t>
  </si>
  <si>
    <t>Addison Park Sincerre 9-Pc. King Comforter Black King</t>
  </si>
  <si>
    <t>Hotel Collection Wavelet FullQueen Comforter, Slate FullQueen</t>
  </si>
  <si>
    <t>Scott Living Sloane 52 x 84 Trellis Print Blue 52x84</t>
  </si>
  <si>
    <t>Sun Zero Sun Zero Cayden Grid Texture D Pearl 50x84</t>
  </si>
  <si>
    <t>Oake Geo Stitch Cotton King Coverle Taupe King</t>
  </si>
  <si>
    <t>Martha Stewart Collection Reversible Plaid FullQueen Co Blue Williams FullQueen</t>
  </si>
  <si>
    <t>Sunham Penelope Cotton 21 x 34 Bath Grey 21 x 34</t>
  </si>
  <si>
    <t>Charter Club 2 Pack Decorative Pillows, Cre Buffalo Check Decorative Pillow</t>
  </si>
  <si>
    <t>J Queen New York Jacqueline Window Waterfall Va Teal 43 x 33</t>
  </si>
  <si>
    <t>AQ Textiles Sullivan 1400 thread count 4 p Green King</t>
  </si>
  <si>
    <t>Tommy Hilfiger Sketchy Square 4 Piece Sheet S Navy Full</t>
  </si>
  <si>
    <t>Hotel Collection Velvet Queen Coverlet, Created Dune FullQueen Coverlet</t>
  </si>
  <si>
    <t>Hallmart Collectibles Amalie Reversible 12-Pc. King Charcoalwhite King</t>
  </si>
  <si>
    <t>AQ Textiles Sullivan 1400 thread count 4 p Gray King</t>
  </si>
  <si>
    <t>Charter Club Sherpa Plush King Blanket, Cre Smoke King</t>
  </si>
  <si>
    <t>Oake Textured Gauze European Sham, Charcoal European Sham</t>
  </si>
  <si>
    <t>Sharper Image SHARPER IMAGE Cool Comfort 750 Blue Full</t>
  </si>
  <si>
    <t>Nourison Santa Holding a Gift Accent D Red No Size</t>
  </si>
  <si>
    <t>Pem America Buffalo Plaid and Dogs 3-Pc. F Multi FullQueen</t>
  </si>
  <si>
    <t>CALVIN KLEIN/HOLLANDER SLEEP &amp; DECO</t>
  </si>
  <si>
    <t>TRADEMARK GLOBAL/TRADEMARK GAMES</t>
  </si>
  <si>
    <t>INK &amp; IVY/JLA HOME/E &amp; E CO LTD</t>
  </si>
  <si>
    <t>DECOPOLITAN/BEME INTERNATIONAL LLC</t>
  </si>
  <si>
    <t>MICRO FLANNEL/SHAVEL ASSOCIATES INC</t>
  </si>
  <si>
    <t>CHARTER CLUB-EDI/RWI/WELSPUN</t>
  </si>
  <si>
    <t>DONNA SHARP/AMERICAN HERITAGE TXTL</t>
  </si>
  <si>
    <t>BABY SIGNATURE DBA DAINTY HOME INC</t>
  </si>
  <si>
    <t>THRO/JIMCO LAMP &amp; MANUFACTURING CO</t>
  </si>
  <si>
    <t>CALLOWAY MILLS/HOME &amp; MORE LLC</t>
  </si>
  <si>
    <t>ELUXURY LLC</t>
  </si>
  <si>
    <t>MARTHA STEWART-MMG</t>
  </si>
  <si>
    <t>OAKE BEDDING/OAKE</t>
  </si>
  <si>
    <t>CARO HOME LLC</t>
  </si>
  <si>
    <t>CHARTER CLUB-MMG/WELSPUN USA</t>
  </si>
  <si>
    <t>BARGAIN ONLINE SHOPS LLC</t>
  </si>
  <si>
    <t>KEECO LLC-DOMESTIC</t>
  </si>
  <si>
    <t>SHARPER IMAGE/SINOMAX USA INC</t>
  </si>
  <si>
    <t>MARTHA STEWART-EDI/JLA HOME</t>
  </si>
  <si>
    <t>REVMAN INTERNATIONAL INC</t>
  </si>
  <si>
    <t>ELLEN DEGENERES/REVMAN INTERNATIONL</t>
  </si>
  <si>
    <t>RALPH LAUREN/WESTPOINT HOME INC</t>
  </si>
  <si>
    <t>VICTORIA/TEXTILES FROM EUROPE-CONS</t>
  </si>
  <si>
    <t>CHARTER CLUB-EDI/DOWNLITE</t>
  </si>
  <si>
    <t>NOURISON INDUSTRIES INC</t>
  </si>
  <si>
    <t>MIXED / BOTH</t>
  </si>
  <si>
    <t>Lux Hotel Baratta Embroidered Euro 2-Pac White European Sham</t>
  </si>
  <si>
    <t>Avanti Initial Script Ivory and Gold I</t>
  </si>
  <si>
    <t>Avanti Sequin Shells 27 x 50 Hand T Mineral Bath Towels</t>
  </si>
  <si>
    <t>Avanti Home Sweet Texas Fingertip Tow Avanti Home Sweet Texas Finger</t>
  </si>
  <si>
    <t>Avanti Beachcomber Tray Tray</t>
  </si>
  <si>
    <t>Avanti Gnome Walk Shower Curtain Multi No Size</t>
  </si>
  <si>
    <t>Tempur-Pedic Tempur-Pedic Cool Luxury King Sand Dollar King</t>
  </si>
  <si>
    <t>Sobel Westex SOBEL WESTEX 12 Piece Towel Se Plum NO SIZE</t>
  </si>
  <si>
    <t>BRIGHT PUR</t>
  </si>
  <si>
    <t>SOBEL WESTEX</t>
  </si>
  <si>
    <t>Sobel Westex Sobel Westex Luxury Nylon 3 Pi Navy</t>
  </si>
  <si>
    <t>Calvin Klein Tossed Down-Alternative Extra- White Standard</t>
  </si>
  <si>
    <t>Calvin Klein Monogram Logo Medium Support C White King</t>
  </si>
  <si>
    <t>Elrene Elrene All Seasons Faux Silk 5 Antique Gold 52x84</t>
  </si>
  <si>
    <t>Elrene Athena Rod Pocket 52 x 84 Pa White 52x84</t>
  </si>
  <si>
    <t>Elrene Elrene Aurora 52 x 63 Single Lavender 52x63</t>
  </si>
  <si>
    <t>Elrene Elrene Aurora 52 x 63 Single Soft Pink 52x63</t>
  </si>
  <si>
    <t>Sun Zero Sun Zero Grant 54 x 63 Gromm Steel 54x63</t>
  </si>
  <si>
    <t>Sun Zero Lichtenberg Sun Zero Grant Sol Steel 54x84</t>
  </si>
  <si>
    <t>Sun Zero Lichtenberg Sun Zero Grant Sol Blush 54x84</t>
  </si>
  <si>
    <t>No. 918 No. 918 Sheer Voile 59 x 84 White 59x84</t>
  </si>
  <si>
    <t>Sun Zero Amherst Velvet 50 x 84 Therm Grey 50x84</t>
  </si>
  <si>
    <t>Disney Spider-Man 8-Pc. Reversible Fu Multi Full</t>
  </si>
  <si>
    <t>Disney Marvel Comics Get Together 2pk Marvel Comics</t>
  </si>
  <si>
    <t>Disney Minnie Mouse Cotton Stripe Hoo Minnie</t>
  </si>
  <si>
    <t>Urban Habitat 158 Ivory KingCalifornia King</t>
  </si>
  <si>
    <t>JLA Home Delilah 72 x 72 Faux-Linen S Red Multi 72X72</t>
  </si>
  <si>
    <t>510 Design Marseille FullQueen 5 Piece R GreyCharcoal FullQueen</t>
  </si>
  <si>
    <t>Madison Park Leona KingCalifornia King 3 P Taupe KingCalifornia King</t>
  </si>
  <si>
    <t>Intelligent Design Intelligent Design Rebecca Met BlushGold FullQueen</t>
  </si>
  <si>
    <t>Natori Urban Dreams Dinosaur Backrest Blue Standard</t>
  </si>
  <si>
    <t>Natori Astro 5PC Comforter ensemble T Multi Twin</t>
  </si>
  <si>
    <t>Sleep Philosophy Sleep Philosophy Mink to Micro Sand 48 x 72</t>
  </si>
  <si>
    <t>Natori Franky 8-Pc. Full Comforter Se Multi Full</t>
  </si>
  <si>
    <t>Natori Brooke 6-Pc. Reversible Twin C Pinkwhite Twin</t>
  </si>
  <si>
    <t>Natori Unicorn 2-Pc. Reversible Twin Pink Twin</t>
  </si>
  <si>
    <t>Natori Shark 2-Pc. Reversible Twin Qu Blue Twin</t>
  </si>
  <si>
    <t>JLA Home Lisette 14-Pc. Damask Jacquard Silver Queen</t>
  </si>
  <si>
    <t>JLA Home 2 pack pillow set Green Floral Decorative Pillow</t>
  </si>
  <si>
    <t>Madison Park Ceres 50 x 84 Twisted Tab To White 50x84</t>
  </si>
  <si>
    <t>Sanders Solid Microfiber Full Sheet Se Wheat Full</t>
  </si>
  <si>
    <t>BioPEDIC Ultra-Fresh Luxury Gusseted Pi White Standard</t>
  </si>
  <si>
    <t>SensorPEDIC 2 Pack Fresh Clean Standard White Standard</t>
  </si>
  <si>
    <t>SensorGel Cool Fusion King Pillow with C White King</t>
  </si>
  <si>
    <t>SensorPEDIC Gel-Overlay Memory Foam Comfor White Standard</t>
  </si>
  <si>
    <t>SensorGel Wellness by Supportive Memory White Standard</t>
  </si>
  <si>
    <t>Linum Home Linum Home 100 Turkish Cotton J ONE SIZE</t>
  </si>
  <si>
    <t>Fairfield Square Collection Fairfield Square Sydney 825-Th Light Blue Queen</t>
  </si>
  <si>
    <t>AQ Textiles Ultra Cool 700-Thread Count 4- Cameo Pink King</t>
  </si>
  <si>
    <t>AQ Textiles Camden Sateen 1250-Thread Coun Ivory Full</t>
  </si>
  <si>
    <t>AQ Textiles Camden 1250 thread count 4 pc Red Queen</t>
  </si>
  <si>
    <t>AQ Textiles Camden Sateen 1250-Thread Coun Green King</t>
  </si>
  <si>
    <t>Home Boutique CLOSEOUT 3-Piece Microfiber K White King</t>
  </si>
  <si>
    <t>Joseph &amp; Lyman Twill Shorts</t>
  </si>
  <si>
    <t>Homey Cozy Seashell 20 x 20 Decorative Teal 20x20</t>
  </si>
  <si>
    <t>Ella Jayne Soft Luxurious White Down 100 White Queen</t>
  </si>
  <si>
    <t>Hotel Collection Dimensional King Comforter Blue King</t>
  </si>
  <si>
    <t>Hotel Collection Cotton Reversible 21 x 33 Ru Cloud 21 x 33</t>
  </si>
  <si>
    <t>Juicy Couture Flower Grid 50 x 70 Plush Th Greysilver 50x70</t>
  </si>
  <si>
    <t>Juicy Couture Regent Leopard 3-Piece Queen C Whitepinkblack Queen</t>
  </si>
  <si>
    <t>Juicy Couture Lattice 3-Piece King Comforter Whiteblack King</t>
  </si>
  <si>
    <t>CHF Trinity 51 x 84 Crinkle Voil Winter White 51x84</t>
  </si>
  <si>
    <t>Deerlux Decorative Chenille Throw Blan Open Blue 50x60</t>
  </si>
  <si>
    <t>QUICKWAY IMPORTS INC</t>
  </si>
  <si>
    <t>Morgan Home Printed Plush 18 Decorative P Harrison Blush No Size</t>
  </si>
  <si>
    <t>Infinity Home 2pk 18 square Textured Decora Blush No Size</t>
  </si>
  <si>
    <t>Infinity Home 3 PC Decorative Pillows and Th Beige</t>
  </si>
  <si>
    <t>Kindred Home 50 x 60 Honeycomb Knitted Th Mustard Throw</t>
  </si>
  <si>
    <t>Elite Home FullQueen Reversible Down Alt BlackGrey FullQueen</t>
  </si>
  <si>
    <t>Siscovers Siscovers Empress Decorative P Gold</t>
  </si>
  <si>
    <t>Madison Park Madison Park Quebec 3-Piece Fu Khaki FullQueen</t>
  </si>
  <si>
    <t>Madison Park Madison Park Andora 50 x 84 White 50x84</t>
  </si>
  <si>
    <t>Harbor House Maya Bay 200-Thread Count 4-Pc White King</t>
  </si>
  <si>
    <t>HARBOR HOUSE/JLA HOME/E &amp; E CO LTD</t>
  </si>
  <si>
    <t>Harbor House Maya Bay 200-Thread Count 12 Blue</t>
  </si>
  <si>
    <t>Intelligent Design Intelligent Design Microfiber Pink Full</t>
  </si>
  <si>
    <t>Natori Pipeline 4-Pc. Reversible King Olive KingCalifornia King</t>
  </si>
  <si>
    <t>Madison Park Madison Park Quebec 3-Piece Fu White FullQueen</t>
  </si>
  <si>
    <t>Martha Stewart Collection Martha Stewart Collection Soft Natural Ivory King</t>
  </si>
  <si>
    <t>Charter Club Cozy Plush Throw Slate Throw</t>
  </si>
  <si>
    <t>Intelligent Design Intelligent Design Ruffled 6-P Pink California King</t>
  </si>
  <si>
    <t>Madison Park Madison Park Essentials Chevro Grey King</t>
  </si>
  <si>
    <t>Madison Park Blaire 7-Pc. Faux-Silk King Co Navy King</t>
  </si>
  <si>
    <t>Hallmart Collectibles Maxson 12-Pc. Reversible Full Gray Full</t>
  </si>
  <si>
    <t>Hallmart Collectibles Orena 3-Pc. Reversible FullQu Tanivory FullQueen</t>
  </si>
  <si>
    <t>Hallmart Collectibles Fizora 14-Pc. Mosaic Jacquard Goldwhite King</t>
  </si>
  <si>
    <t>Hallmart Collectibles Birena 9-Pc. Embroidered Queen Navy Queen</t>
  </si>
  <si>
    <t>Hallmart Collectibles Palcita 12-Pc. Reversible Cali Blushblack California King</t>
  </si>
  <si>
    <t>Hallmart Collectibles Gissing 12-Pc. Reversible Full Bluepink Full</t>
  </si>
  <si>
    <t>Ella Jayne Ella Jayne Wearable Weighted S Pink No Size</t>
  </si>
  <si>
    <t>Ella Jayne Ella Jayne Wearable Weighted S Burnt Orange No Size</t>
  </si>
  <si>
    <t>FEATHER STITCH, NY 2-Pc. Cotton Bathrug Set Coral</t>
  </si>
  <si>
    <t>COTTON RINGS INC</t>
  </si>
  <si>
    <t>Ella Jayne 20lb Reversible Anti-Anxiety W GreyNavy</t>
  </si>
  <si>
    <t>Ella Jayne 15lb Reversible Anti-Anxiety W GreyPink</t>
  </si>
  <si>
    <t>Ella Jayne Arctic Chill Super Cooling Gel White</t>
  </si>
  <si>
    <t>Hotel Collection Ultimate MicroCotton 30 x 56 White Bath Towels</t>
  </si>
  <si>
    <t>Hotel Collection Ultimate MicroCotton 30 x 56 Dune Bath Towels</t>
  </si>
  <si>
    <t>Hotel Collection Ultimate MicroCotton 30 x 56 Glacier Bath Towels</t>
  </si>
  <si>
    <t>Hotel Collection Ultimate MicroCotton 30 x 56 Lake Bath Towels</t>
  </si>
  <si>
    <t>Martha Stewart Collection Martha Stewart Collection Piqu Vanilla Queen</t>
  </si>
  <si>
    <t>MARTHA STEWART-EDI/PAC-FUNG FEATHER</t>
  </si>
  <si>
    <t>Hotel Collection 680 Thread-Count 18 Square De White Square Decorative Pilllow</t>
  </si>
  <si>
    <t>Hotel Collection Cotton 680 Thread Count King F Sand King</t>
  </si>
  <si>
    <t>Hotel Collection Cotton 680 Thread Count Twin F White Twin</t>
  </si>
  <si>
    <t>Hotel Collection Cotton 680 Thread Count Extra- Palladium Queen</t>
  </si>
  <si>
    <t>Hotel Collection Fresco Quilted FullQueen Cove Gold FullQueen Coverlet</t>
  </si>
  <si>
    <t>Charter Club Damask Stripe Pima Cotton 550- White King</t>
  </si>
  <si>
    <t>Charter Club Damask Cotton 210-Thread Count White King</t>
  </si>
  <si>
    <t>Charter Club Damask Cotton 210-Thread Count White European Sham</t>
  </si>
  <si>
    <t>Martha Stewart Collection Essentials Quilted Waterproof White Twin</t>
  </si>
  <si>
    <t>Calvin Klein Henley Standard sham Aqua Standard Sham</t>
  </si>
  <si>
    <t>Shavel Micro Flannel 7 Layers of War Amethyst Queen</t>
  </si>
  <si>
    <t>Elegance Spa Elegance Spa Luxurious Cotton Open Gray ONE SIZE</t>
  </si>
  <si>
    <t>AFFINITY LINENS LLC</t>
  </si>
  <si>
    <t>Casa Platino Casa Platino Soft and Luxuriou White ONE SIZE</t>
  </si>
  <si>
    <t>Martha Stewart Collection Solid Open Stock 400-Thread Co Ivory King Fitted</t>
  </si>
  <si>
    <t>Martha Stewart Collection Solid Open Stock 400-Thread Co Cloud White Queen Fitted</t>
  </si>
  <si>
    <t>Charter Club Sleep Cool 400-Thread Count 3- Graphite Dark Grey Twin</t>
  </si>
  <si>
    <t>Hotel Collection Linen FullQueen Duvet Cover White FullQueen</t>
  </si>
  <si>
    <t>Martha Stewart Collection Star Patchwork Standard Sham Ivory Standard Sham</t>
  </si>
  <si>
    <t>Charter Club Sleep Cool Egyptian Hygro Cott White Full</t>
  </si>
  <si>
    <t>Charter Club Sleep Cool Egyptian Hygro Cott Denim Sky Twin</t>
  </si>
  <si>
    <t>Charter Club Damask Designs Wovenblock Cott Smoke King</t>
  </si>
  <si>
    <t>Charter Club Damask Designs 12 x 18 Decor Mr. Rectangle Decorative Pillow</t>
  </si>
  <si>
    <t>Charter Club Damask Designs 12 x 18 Decor Mrs. Rectangle Decorative Pillow</t>
  </si>
  <si>
    <t>Charter Club Sleep Luxe Cotton 800-Thread C Pebble European Sham</t>
  </si>
  <si>
    <t>Hotel Collection Metallic Stone Quilted Europea Gold European Sham</t>
  </si>
  <si>
    <t>Hotel Collection Hotel Collection Italian Perca White King Sham</t>
  </si>
  <si>
    <t>Charter Club Damask Cotton 550-Thread Count Marina FullQueen</t>
  </si>
  <si>
    <t>Hotel Collection Hotel Collection Layered Frame Jade King</t>
  </si>
  <si>
    <t>Hotel Collection CLOSEOUT Hotel Collection Art White Square Decorative Pilllow</t>
  </si>
  <si>
    <t>Whim by Martha Stewart Valencia Mandala 3-Pc. FullQu Blue FullQueen</t>
  </si>
  <si>
    <t>Martha Stewart Collection Reversible Poppy Flora Yarn Dy Blue FullQueen</t>
  </si>
  <si>
    <t>Home Design Hand Towel Medium Grey Hand Towels</t>
  </si>
  <si>
    <t>Home Design Hand Towel Light Teal Hand Towels</t>
  </si>
  <si>
    <t>Home Design Cotton 13 x 13 Wash Towel Medium Grey Washcloths</t>
  </si>
  <si>
    <t>Charter Club Damask Designs New Geo Cotton Black King</t>
  </si>
  <si>
    <t>Charter Club Sleep Luxe FullQueen Duvet Se White FullQueen</t>
  </si>
  <si>
    <t>Charter Club Egyptian Cotton 30 x 56 Bath White Lily Bath Towels</t>
  </si>
  <si>
    <t>Charter Club Damask Designs Coastal Stripe Blue FullQueen</t>
  </si>
  <si>
    <t>Martha Stewart Collection Farmstead Floral Patchwork Ful Red FullQueen</t>
  </si>
  <si>
    <t>Martha Stewart Collection Farmstead Floral Patchwork Qui Red Standard Sham</t>
  </si>
  <si>
    <t>Martha Stewart Collection Solid Faux Fur Throw Grey 50x60</t>
  </si>
  <si>
    <t>Martha Stewart Collection Holiday Flannel Buffalo Plaid Buffalo Plaid Standard Sham</t>
  </si>
  <si>
    <t>Martha Stewart Collection Luxury 100 Cotton Flannel 4-P Bright White King</t>
  </si>
  <si>
    <t>Hotel Collection Channels FullQueen Comforter, White FullQueen</t>
  </si>
  <si>
    <t>Martha Stewart Collection Charleston Yarn Dye Stripe Ful Blue FullQueen</t>
  </si>
  <si>
    <t>Martha Stewart Collection Plush Bath Robe Gray ONE SIZE</t>
  </si>
  <si>
    <t>Charter Club Damask Designs 550-Thread Coun Poppy King</t>
  </si>
  <si>
    <t>Martha Stewart Collection Ombre Faux Fur Throw, Created Natural 50x60</t>
  </si>
  <si>
    <t>Martha Stewart Collection Gilded Floral Velvet Quilted T Tan 50x60</t>
  </si>
  <si>
    <t>Whim by Martha Stewart Whim by Martha Stewart Collect NYC Full</t>
  </si>
  <si>
    <t>Whim by Martha Stewart Whim By Martha Stewart Collect Paris Queen</t>
  </si>
  <si>
    <t>Martha Stewart Collection Floral Matelasse 100 Cotton T White Twin</t>
  </si>
  <si>
    <t>Hotel Collection Skyline FullQueen Comforter, Oyster FullQueen</t>
  </si>
  <si>
    <t>Hotel Collection Skyline Quilted Euro Sham, Cre Cloud European Sham</t>
  </si>
  <si>
    <t>Whim by Martha Stewart Whim by Martha Stewart Collect Affirmations Full</t>
  </si>
  <si>
    <t>Hotel Collection 500 Thread Count Micro Cotton Grey Standard Pillowcase</t>
  </si>
  <si>
    <t>Hotel Collection Dobby Diamond FullQueen Cover White FullQueen Coverlet</t>
  </si>
  <si>
    <t>Whim by Martha Stewart Valencia Mandala 3-Pc. King Co Pink King</t>
  </si>
  <si>
    <t>Hotel Collection Cloudscape FullQueen Duvet, C Blush FullQueen</t>
  </si>
  <si>
    <t>Hotel Collection Cloudscape King Comforter, Cre Blush King</t>
  </si>
  <si>
    <t>Martha Stewart Collection Wedding Rings 100 Cotton King White King</t>
  </si>
  <si>
    <t>Martha Stewart Collection Martha Stewart Collection Amer Blue King Sham</t>
  </si>
  <si>
    <t>Martha Stewart Collection Essentials 4-Pc. Printed Micro Ditsy Floral Full</t>
  </si>
  <si>
    <t>Hotel Collection Chainlinks Queen Sheet Set, Cr White Queen</t>
  </si>
  <si>
    <t>Hotel Collection Chainlinks FullQueen Duvet, C White FullQueen</t>
  </si>
  <si>
    <t>Charter Club Damask 500 Thread Count Solid White King</t>
  </si>
  <si>
    <t>Oake Chunky Knit Throw, Created for Ivory Throw</t>
  </si>
  <si>
    <t>Fairfield Square Collection Austin 6-Pc. Reversible Comfor Blue Queen</t>
  </si>
  <si>
    <t>Fairfield Square Collection Paris Gold 8-Pc. Reversible Qu White California King</t>
  </si>
  <si>
    <t>Lacoste Home Percale King Solid Sheet Set Canyon King</t>
  </si>
  <si>
    <t>VCNY Home High Pile Plush Throw Blush 50x60</t>
  </si>
  <si>
    <t>VCNY Home Nina 3-Pc. Embossed King Quilt Green King</t>
  </si>
  <si>
    <t>VCNY Home VCNY Home Dublin Cable Knit Th Grey Throw</t>
  </si>
  <si>
    <t>VCNY Home VCNY Home Casa Real Reversibl Multi King</t>
  </si>
  <si>
    <t>VCNY Home Kaleidoscope 3-Pc. FullQueen Gold FullQueen</t>
  </si>
  <si>
    <t>VCNY Home VCNY Home Nina Embossed Comfor Blue FullQueen</t>
  </si>
  <si>
    <t>VCNY Home Heathered 2-Pc. Bath Rug Set Grey ONE SIZE</t>
  </si>
  <si>
    <t>Hotel Collection Bedding, 500 Thread Count Full White Full</t>
  </si>
  <si>
    <t>Hotel Collection European White Goose Down Ligh White FullQueen</t>
  </si>
  <si>
    <t>Hotel Collection European White Goose Down Heav White FullQueen</t>
  </si>
  <si>
    <t>Hotel Collection European White Goose Down Soft White King</t>
  </si>
  <si>
    <t>Popular Bath Tuscan Bowl Brush Chrome</t>
  </si>
  <si>
    <t>Miller Curtains Kailey 50 x 84 Grommet Panel NaturalGold 50x84</t>
  </si>
  <si>
    <t>Charter Club White Down Medium Weight Twin White Twin</t>
  </si>
  <si>
    <t>MY PRIMALOFT MEDIUM</t>
  </si>
  <si>
    <t>Pillow Perfect Holiday Plaid Red Rectangular Red No Size</t>
  </si>
  <si>
    <t>Iso-Pedic Luxury Knit Cooling Pillow Whiteblue</t>
  </si>
  <si>
    <t>Tommy Hilfiger Tommy Hilfiger Solid Core Twin Off white Twin XL</t>
  </si>
  <si>
    <t>Tommy Hilfiger Tommy Hilfiger Solid Core King Raspberry King</t>
  </si>
  <si>
    <t>Tommy Hilfiger Corded Logo King Pillow White King</t>
  </si>
  <si>
    <t>TOMMY HILFIGER HOME/HIMATSINGKA</t>
  </si>
  <si>
    <t>Truly Soft Truly Soft Pleated White Full Blush FullQueen</t>
  </si>
  <si>
    <t>Pem America Paris 2-Pc. FullQueen Comfort Blush FullQueen</t>
  </si>
  <si>
    <t>Pem America 5th Avenue Lux Riverton 7-Piec Gold King</t>
  </si>
  <si>
    <t>Charisma Luxe Zero Twist Bath Robe White SM</t>
  </si>
  <si>
    <t>Charisma Luxe Zero Twist Bath Robe White LXL</t>
  </si>
  <si>
    <t>Pem America Jersey 2-Pc. Twin Comforter Se Gray Twin</t>
  </si>
  <si>
    <t>Pem America Franklin Stripe 8-Pc. King Com Blue King</t>
  </si>
  <si>
    <t>Truly Soft Truly Soft Everyday Red and Gr Burgundy And Brown FullQueen</t>
  </si>
  <si>
    <t>Dearfoams Reverse Chenille Throw With Fr Clay Throw</t>
  </si>
  <si>
    <t>Kathy Ireland Kathy Ireland Home Essentials White King</t>
  </si>
  <si>
    <t>Blue Ridge Oversized White Goose Feather Ivory King</t>
  </si>
  <si>
    <t>Royal Luxe White Goose 240-Thread Count F White FullQueen</t>
  </si>
  <si>
    <t>Royal Luxe Royal Luxe Microfiber Color Do Chocolate FullQueen</t>
  </si>
  <si>
    <t>Berkshire Berkshire Classic Velvety Plus Humus FullQueen</t>
  </si>
  <si>
    <t>DKNY Modern Bloom 50 x 84 Curtain Blue 50x84</t>
  </si>
  <si>
    <t>DKNY PURE Comfy Cotton King Duvet Platinum Stripe King</t>
  </si>
  <si>
    <t>Southshore Fine Linens Southshore Fine Linens Classy Black King Split</t>
  </si>
  <si>
    <t>Enchante Home Enchante Home Veta 6-Pc. Turki Dark Grey Towel Sets</t>
  </si>
  <si>
    <t>Enchante Home Ria Turkish Cotton Shower Curt Grey</t>
  </si>
  <si>
    <t>TURKO TEXTILE LLC</t>
  </si>
  <si>
    <t>Nameeks Nameeks Potus Wood Square Soap Bamboo ONE SIZE</t>
  </si>
  <si>
    <t>NAMEEKS INC</t>
  </si>
  <si>
    <t>Caro Home Bel Aire 6-Pc. Towel Set Melon ONE SIZE</t>
  </si>
  <si>
    <t>Caro Home Manchester Cotton 30 x 54 Ba Medium Blue Bath Towels</t>
  </si>
  <si>
    <t>Waterguard Waterguard Pillow Protectors, White Queen</t>
  </si>
  <si>
    <t>Nanshing Nanshing Siena 9 Piece Comfort Gold-Tone King</t>
  </si>
  <si>
    <t>Elegant Comfort Elegant Comfort Silky Soft Fit Orange Queen</t>
  </si>
  <si>
    <t>Dr. Oz Good Life Dr. Oz Good Life Drift Off Dua White Standard</t>
  </si>
  <si>
    <t>Chic Home Chic Home Woodside 3 Piece Kin Blue King</t>
  </si>
  <si>
    <t>Chic Home Chic Home Raypur 8-Pc. Queen B Aqua Queen</t>
  </si>
  <si>
    <t>Chic Home Chic Home Khaya 7-Pc. King Com Black King</t>
  </si>
  <si>
    <t>Cathay Home Inc. Oversize Lightweight Quilt Set Ivory KingCalifornia King</t>
  </si>
  <si>
    <t>AQ Textiles Bergen Egyptian Cotton Sateen Light Blue King</t>
  </si>
  <si>
    <t>ienjoy Home Restyle your Room Reversible C Sage Queen</t>
  </si>
  <si>
    <t>ienjoy Home The Boho Beyond Premium Ultr Grey Arrows Queen</t>
  </si>
  <si>
    <t>Tribeca Living Tribeca Living Heavyweight Fla Cashmere King</t>
  </si>
  <si>
    <t>Home Weavers Fantasia Bath Rug 17 x 24 Grey No Size</t>
  </si>
  <si>
    <t>Rizzy Home Rizzy Home Geometrical Design Gold</t>
  </si>
  <si>
    <t>J Queen New York Napoleon Gold Tufted Round Dec Gold No Size</t>
  </si>
  <si>
    <t>J Queen New York La Scala 20 Square Decorative Gold</t>
  </si>
  <si>
    <t>J Queen New York La Scala European Sham Gold European Sham</t>
  </si>
  <si>
    <t>J Queen New York Satinique Quilted King Sham Natural King Sham</t>
  </si>
  <si>
    <t>J Queen New York Satinique Quilted King Sham Gold King Sham</t>
  </si>
  <si>
    <t>J Queen New York Bel Air Sand 4-Pc. King Comfor Sand King</t>
  </si>
  <si>
    <t>Levtex Levtex Home Bella Ballerina Fu Pink Full</t>
  </si>
  <si>
    <t>Mainstream International Inc. Cotton Solid 16 x 26 Hand To Grey Hand Towels</t>
  </si>
  <si>
    <t>Lush Decor Lush Decor Striped Border 72x White 72X72</t>
  </si>
  <si>
    <t>Lush Decor Stripe 52 x 95 Blackout Curt Navy 52x95</t>
  </si>
  <si>
    <t>Lush Decor Ravello Pintuck 52 x 84 Curt White 52x84</t>
  </si>
  <si>
    <t>LOFT EVOLUTION by Loft Aqua ONE SIZE</t>
  </si>
  <si>
    <t>LOFTEX HOME LLC</t>
  </si>
  <si>
    <t>BedVoyage BedVoyage Eco-Melange King Pil Silver King Pillowcase</t>
  </si>
  <si>
    <t>BEDVOYAGE</t>
  </si>
  <si>
    <t>Delilah Home Delilah Home Hemp King Sheet S White King</t>
  </si>
  <si>
    <t>DELILAH HOME LLC</t>
  </si>
  <si>
    <t>Manhattan Heights Ariana Reversible 8-Pc. Queen Multi Queen</t>
  </si>
  <si>
    <t>Nanshing Pastora 7-Piece Comforter Set Bronze California King</t>
  </si>
  <si>
    <t>Tommy Bahama Home Tommy Bahama Cape Verde Smoke Smoke King</t>
  </si>
  <si>
    <t>City Scene Zander Twin Duvet Cover Set White Twin</t>
  </si>
  <si>
    <t>Nautica Nautica Whale Stripe XL Twin S Blue Twin XL</t>
  </si>
  <si>
    <t>Nautica Ultra Soft Plush Solid Europea Whale Gray European Sham</t>
  </si>
  <si>
    <t>Tommy Bahama Home Canyon Palms Velvet Throw Pill Medium Green 18x18</t>
  </si>
  <si>
    <t>Pure Bath Stella Tassel 2pc Bath Rug Set Ivoryblack No Size</t>
  </si>
  <si>
    <t>Hotel Collection Illusions FullQueen Coverlet, Sand FullQueen Coverlet</t>
  </si>
  <si>
    <t>AQ Textiles Sullivan 1400 thread count 4 p Blue King</t>
  </si>
  <si>
    <t>Natori Daisy 3-Pc. Twin Quilt Set Purpleyellow Twin</t>
  </si>
  <si>
    <t>Sanders Printed Microfiber Full Sheet Glenwood Navy Full</t>
  </si>
  <si>
    <t>AQ Textiles Sullivan 1400 thread count 4 p White King</t>
  </si>
  <si>
    <t>Kensington Garden Valencia T1000 Egyptian Queen Navy Queen</t>
  </si>
  <si>
    <t>Bare Home Bare Home Microplush Fleece Bl Blue TwinTwin XL</t>
  </si>
  <si>
    <t>JP ECOMMERCE</t>
  </si>
  <si>
    <t>Sharper Image SHARPER IMAGE Cool Comfort 750 Cream Queen</t>
  </si>
  <si>
    <t>Charter Club Damask Designs Leaves Silhouet Lves Silhouette FullQueen</t>
  </si>
  <si>
    <t>Hallmart Collectibles Cherry Blossom 2-Pc. Twin Comf Ivorypink Twin</t>
  </si>
  <si>
    <t>PILLOW CASES (2 PC)</t>
  </si>
  <si>
    <t>VERSACE USA INC</t>
  </si>
  <si>
    <t>Sunham Cliff 12-Pc. Reversible Califo Blue California King</t>
  </si>
  <si>
    <t>Scott Living Scott Living Natural Blend Fea White King</t>
  </si>
  <si>
    <t>Charter Club King Cooling Blanket Classic White King</t>
  </si>
  <si>
    <t>Premier Comfort Premier Comfort Heated Plush T Multi Throw</t>
  </si>
  <si>
    <t>Caro Home Zebra Stripe 16 x 26 Hand To Charcoal Hand Towels</t>
  </si>
  <si>
    <t>DRAFT - Martha Stewart Cardina Ms Cardinal Hh Rug No Size</t>
  </si>
  <si>
    <t>MARTHA STEWART-EDI/MOHAWK</t>
  </si>
  <si>
    <t>Hallmart Collectibles Chandelier Reversible 12-Pc. K Bluewhite King</t>
  </si>
  <si>
    <t>Sanders Kids Holiday Microfiber 3 pc T Gift Under Tree Twin</t>
  </si>
  <si>
    <t>BRGHT PINK</t>
  </si>
  <si>
    <t>Macys Plush Throw Whitered Throw</t>
  </si>
  <si>
    <t>Christian Siriano New York Christian Siriano New York Twi White Twin XL</t>
  </si>
  <si>
    <t>Mod Lifestyles Thankful Truck Embroidery Lumb Multi 14x22</t>
  </si>
  <si>
    <t>Martha Stewart Collection Flannel Cotton 4-Pc. Queen She Ditsy Floral Queen</t>
  </si>
  <si>
    <t>MARTHA STEWART-EDI/BALTIC LINENS</t>
  </si>
  <si>
    <t>Levtex Kassandra FullQueen Quilt Set Multi FullQueen</t>
  </si>
  <si>
    <t>Sanders 5 Piece Sheet Set With Throw Q Red Gingham Queen</t>
  </si>
  <si>
    <t>Mainstream International Inc. Bath Towel Set Grey Bath Towels</t>
  </si>
  <si>
    <t>AQ Textiles Sullivan 1400 thread count 4 p Pink Queen</t>
  </si>
  <si>
    <t>Oake Chunky Knit Throw, Created for Navy Throw</t>
  </si>
  <si>
    <t>Martha Stewart Collection Flannel Cotton 4-Pc. Full Shee Holiday Corgi Full</t>
  </si>
  <si>
    <t>Enchante Home Gracious 2 Pieces Bath Mats Se White</t>
  </si>
  <si>
    <t>Eddie Bauer Eddie Bauer Arrowhead Daybed B Cabon Daybed</t>
  </si>
  <si>
    <t>Eclipse Eclipse Martina Solid Absolute Rose 40x95</t>
  </si>
  <si>
    <t>Hotel Collection Remnant Embroidered Geo Europe Cement Grey European Sham</t>
  </si>
  <si>
    <t>Charter Club Damask Velvet Euro Sham Emerald European Sham</t>
  </si>
  <si>
    <t>Rizzy Home Rizzy Home Fretwork Polyester Gray 20 x 20</t>
  </si>
  <si>
    <t>Hotel Collection Illusions Quilted Euro Sham, C Sand European Sham</t>
  </si>
  <si>
    <t>Sanders 4 Piece Sheet Set With Throw T Light Grey Snow Flurries Twin</t>
  </si>
  <si>
    <t>Sleep Philosophy Ultra Soft Reversible BerberP Indigo Queen</t>
  </si>
  <si>
    <t>SensorPEDIC Cotton Euro Square Pillows, 28 White European</t>
  </si>
  <si>
    <t>Superior Superior Soho Towel Set, 6 Pie Pink Towel Set</t>
  </si>
  <si>
    <t>HOME CITY INC</t>
  </si>
  <si>
    <t>Charter Club Damask Velvet 3 pc FullQueen Emerald FullQueen</t>
  </si>
  <si>
    <t>Cathay Home Inc. Cathay Home Inc. Monogram Embr Gray-K 50x60</t>
  </si>
  <si>
    <t>Franco Manufacturing Co 6-Pc. Twin Comforter Set Multi</t>
  </si>
  <si>
    <t>FRANCO MFG CO</t>
  </si>
  <si>
    <t>Allied Home Allied Home 300 Thread Count G White</t>
  </si>
  <si>
    <t>Charter Club 2-Pk. Pillow, Created for Macy White Standard</t>
  </si>
  <si>
    <t>Hotel Collection Chainlinks King Sheet Set, Cre White King Sham</t>
  </si>
  <si>
    <t>Mod Lifestyles Hampton Stripe Throw, 50 x 60 White, Navy 50x60</t>
  </si>
  <si>
    <t>Charter Club Damask Designs Beach Life 16X Inked Navy 16x16</t>
  </si>
  <si>
    <t>EdieHome EdieHome Pane Velvet-Textured Natural 17x17</t>
  </si>
  <si>
    <t>EDIE@HOME/LEVINSOHN TEXTILE CO INC</t>
  </si>
  <si>
    <t>Hotel Collection Ornate Scroll King Coverlet Ruby King Coverlet</t>
  </si>
  <si>
    <t>Croscill Loretta European Sham, 26 x 2 Linen European</t>
  </si>
  <si>
    <t>Caro Home Chateau Royale Lasdon bath tow Red Towel Set</t>
  </si>
  <si>
    <t>Christy Living Arbor Quilted Decorative Pillo Gray 12x20</t>
  </si>
  <si>
    <t>Eddie Bauer Eddie Bauer Logan Tufted Cotto Sea Blue 2 piece set</t>
  </si>
  <si>
    <t>Sun Zero Sun Zero Grant Room Darkening Wine Red 54x63</t>
  </si>
  <si>
    <t>FREEPORT QUILT BASIC</t>
  </si>
  <si>
    <t>Infinity Home 2pk 18 square Faux Linen Deco Blush No Size</t>
  </si>
  <si>
    <t>Hotel Collection Ornate Scroll FullQueen Cover Ruby FullQueen Coverlet</t>
  </si>
  <si>
    <t>Charter Club Cozy Plush Throw Carved Blush Throw</t>
  </si>
  <si>
    <t>SERTA 5PC INDIGO CS KING</t>
  </si>
  <si>
    <t>VCNY Home VCNY Home Billie Seersucker St Taupe FullQueen</t>
  </si>
  <si>
    <t>Charter Club Make Up Hello Beautiful Towel Black Towel Set</t>
  </si>
  <si>
    <t>Hotel Collection Colorblock Standard Sham, Crea Palladium Standard Sham</t>
  </si>
  <si>
    <t>Michael Aram Michael Aram Orchid Hand Towel Blue 18x28</t>
  </si>
  <si>
    <t>Clean Spaces Living Clean Everyday 7-Pc. So Dark Red Queen</t>
  </si>
  <si>
    <t>Nanshing Nanshing Milan 7 Piece Comfort Camel King</t>
  </si>
  <si>
    <t>Hallmart Collectibles Chandelier 12-Pc Queen Reversi Bluewhite Queen</t>
  </si>
  <si>
    <t>Charter Club Damask Designs Chevron 50 x 6 Cloud Grey Throw</t>
  </si>
  <si>
    <t>AQ Textiles Sullivan 1400 thread count 4 p Silver Queen</t>
  </si>
  <si>
    <t>Avanti Farm House Truck 20 x 30 Bat Multi 20 x 30</t>
  </si>
  <si>
    <t>Disney Star Wars Grogu 6-Pc. Reversib Multi Twin</t>
  </si>
  <si>
    <t>Nestl Bedding Premier 1800 Series Deep Pocke Yellow Queen</t>
  </si>
  <si>
    <t>Mainstream International Inc. Bath and Hand Towel Set Multi Towel Sets</t>
  </si>
  <si>
    <t>Rizzy Home Rizzy Home Fretwork Decorative Gray 20 x 20</t>
  </si>
  <si>
    <t>Martha Stewart Collection Candyland Patchwork FullQueen Red Multi FullQueen</t>
  </si>
  <si>
    <t>Mod Lifestyles Button Tufted Round Velvet Dec Illuminating 16 Round</t>
  </si>
  <si>
    <t>Sunham Wilson 12-Pc. Queen Comforter Navy Queen</t>
  </si>
  <si>
    <t>Kensington Garden Valencia T1000 Egyptian Woven Lt Grey Queen</t>
  </si>
  <si>
    <t>Happycare Textiles Snoogie Boo Ultra-soft Baby Fa Pink One Size Fits All</t>
  </si>
  <si>
    <t>Charter Club Sleep Luxe Cotton 800-Thread C Petal European Sham</t>
  </si>
  <si>
    <t>Hotel Collection Chainlinks King Sham, Created White King Sham</t>
  </si>
  <si>
    <t>AQ Textiles Sullivan 1400 thread count 4 p Taupe Queen</t>
  </si>
  <si>
    <t>Charter Club Damask Designs Citrus 3-Pc. Fu Yellow FullQueen</t>
  </si>
  <si>
    <t>Martha Stewart Collection Buffalo Check FullQueen 4-Pie Buffalo Check FullQueen</t>
  </si>
  <si>
    <t>Sunham Jackson 8-Pc. Full Comforter S Black Full</t>
  </si>
  <si>
    <t>Hotel Collection Ultimate MicroCotton Symmetry Jade Washcloths</t>
  </si>
  <si>
    <t>Hotel Collection Ikat Stripe King Coverlet, Cre Cream King Coverlet</t>
  </si>
  <si>
    <t>Beautyrest Black Premium Hypoallergenic W White King</t>
  </si>
  <si>
    <t>ED Ellen Degeneres ED Ellen Degeneres Textured Ge White FullQueen</t>
  </si>
  <si>
    <t>Martha Stewart Collection Reversible Plaid FullQueen Co Tan Henrick FullQueen</t>
  </si>
  <si>
    <t>Hotel Collection Wavelet Euro Sham, Created for Slate European Sham</t>
  </si>
  <si>
    <t>Caro Home Chateau Royale Noel hand towel White Silver Towel Set</t>
  </si>
  <si>
    <t>Martha Stewart Collection Artisan Log Cabin Standard Sha Blue Standard Sham</t>
  </si>
  <si>
    <t>Lux Hotel Baratta Embroidered Queen Bed White Queen</t>
  </si>
  <si>
    <t>Ella Jayne Soft Plush Gusseted Soft Gel F White Queen</t>
  </si>
  <si>
    <t>Avanti Bath Towels, Bradford 11 x 18 Java</t>
  </si>
  <si>
    <t>Avanti Initial Script Granite and Sil B</t>
  </si>
  <si>
    <t>Avanti Initial Script Granite and Sil H</t>
  </si>
  <si>
    <t>Avanti Galaxy Chevron 16 x 30 Hand Black</t>
  </si>
  <si>
    <t>Avanti Love Nest Soap Dish Soap Dish</t>
  </si>
  <si>
    <t>Sealy Sealy Dream Lux Soft Pillow, K White</t>
  </si>
  <si>
    <t>Calvin Klein Monogram Logo Firm Support Cot White King</t>
  </si>
  <si>
    <t>Elrene CLOSEOUT Elrene Harper Blacko Gray 52x84</t>
  </si>
  <si>
    <t>Elrene Enza Semi-Sheer Jacquard Strip Taupe 52x95</t>
  </si>
  <si>
    <t>Elrene Antonia 52 x 95 Blackout Win Antique Gold 52x95</t>
  </si>
  <si>
    <t>Sun Zero Sun Zero Grant Pole Top 54 x Taupe 54x84</t>
  </si>
  <si>
    <t>Sun Zero Sun Zero Grant 100 x 84 Grom Taupe 100x84</t>
  </si>
  <si>
    <t>Sun Zero Sun Zero Grant 54 x 108 Grom Steel 54x108</t>
  </si>
  <si>
    <t>No. 918 Martine 3-Piece Kitchen Curtai Red 54x36</t>
  </si>
  <si>
    <t>Sun Zero Sun Zero Preston 40 x 108 Gr Pearl 40x108</t>
  </si>
  <si>
    <t>No. 918 No. 918 Calypso Voile Sheer Ro White 59x84</t>
  </si>
  <si>
    <t>No. 918 No. 918 Sheer Voile 59 x 84 Oatmeal 59x84</t>
  </si>
  <si>
    <t>Sun Zero Kline Burlap Weave 52 x 96 T Mushroom 52x96</t>
  </si>
  <si>
    <t>Marvel Marvel Black Panther Blue Trib Black Standard</t>
  </si>
  <si>
    <t>Waterford Ansonia Ivory 55 x 18 Tailor Ivory ONE SIZE</t>
  </si>
  <si>
    <t>Waterford Ansonia Ivory Pole Top Pair 10 Ivory ONE SIZE</t>
  </si>
  <si>
    <t>Kenney Twist Fit No Tools Decorative Chrome</t>
  </si>
  <si>
    <t>Sun Zero Sun Zero Philip 66-120 Wrap Black</t>
  </si>
  <si>
    <t>Charter Club Classic Bath Rug Cc Classic 21X34 21 x 34</t>
  </si>
  <si>
    <t>Tommy Hilfiger Modern American 13 x 13 Cott White Washcloths</t>
  </si>
  <si>
    <t>Arlee Home Fashions Delano Set of Two Chair Pad Se Light Taupe 16x16</t>
  </si>
  <si>
    <t>Hotel Collection Egyptian Cotton King Blanket White King</t>
  </si>
  <si>
    <t>Beautyrest 600 Thread Count King 4 Piece Seafoam King</t>
  </si>
  <si>
    <t>Intelligent Design Intelligent Design Felicia Vel Blush FullQueen</t>
  </si>
  <si>
    <t>Madison Park Madison Park Peached Percale 4 Navy Queen</t>
  </si>
  <si>
    <t>Addison Park Bennett grey King 9pc Comforte Grey King</t>
  </si>
  <si>
    <t>Martha Stewart Collection Martha Stewart Essentials Reve Burgundy King</t>
  </si>
  <si>
    <t>JLA Home Lisette 14-Pc. Damask Jacquard Silver King</t>
  </si>
  <si>
    <t>Colorfly Jude Decorative Pillow Pair Open Misce</t>
  </si>
  <si>
    <t>COLORFLY/BELLE MAISON USA LTD</t>
  </si>
  <si>
    <t>Sanders Printed Microfiber Queen Sheet Quincey Blue Queen</t>
  </si>
  <si>
    <t>SensorGel Luxury Top Loft Gel Fiber Matt White California King</t>
  </si>
  <si>
    <t>SensorGel Wellness Collection by Suppor White Standard</t>
  </si>
  <si>
    <t>SensorGel Sensor Gel SlumberMax Hybrid 4 White Queen</t>
  </si>
  <si>
    <t>SensorGel Sensor Gel SlumberMax Hybrid 4 White Twin XL</t>
  </si>
  <si>
    <t>SensorGel Sensor Gel Smart Zone 3-Inch Q White Twin</t>
  </si>
  <si>
    <t>SensorGel Sensor Gel Smart Zone 3-Inch Q White Queen</t>
  </si>
  <si>
    <t>SensorPEDIC SensorPEDIC Essentials Memory White Standard</t>
  </si>
  <si>
    <t>Lacourte 20 x 20 Home is Where Mom Is Multi 20x20</t>
  </si>
  <si>
    <t>Lacourte Palm Frond 14 x 24 Decorativ Forest Green 14x24</t>
  </si>
  <si>
    <t>Levtex Levtex Mills Waffle Quilt Set, White King</t>
  </si>
  <si>
    <t>Fairfield Square Collection Brookline 1400-Thread Count 6- White King</t>
  </si>
  <si>
    <t>J Queen New York Sandstone King 4Pc. Comforter Beige King</t>
  </si>
  <si>
    <t>J Queen New York J Queen New York Garnet 4 Piec Red California King</t>
  </si>
  <si>
    <t>Elrene Serena Adjustable 86-120 Cur Bronze 86-120in</t>
  </si>
  <si>
    <t>Lush Decor Sydney Cotton 3 Piece Quilt se Bluegreen King</t>
  </si>
  <si>
    <t>Charter Club Elite Hygro Cotton Bath Towel Red Currant Bath Towels</t>
  </si>
  <si>
    <t>Charter Club Elite Hygro Cotton Hand Towel Red Curran Hand Towels</t>
  </si>
  <si>
    <t>Charter Club Elite Hygro Cotton Washcloth Red Curran Washcloths</t>
  </si>
  <si>
    <t>Ella Jayne Soft Plush Gusseted Soft Gel F White King</t>
  </si>
  <si>
    <t>Hotel Collection Hotel Collection Finest Elegan Mica Bath Sheets</t>
  </si>
  <si>
    <t>Hotel Collection Dimensional King Quilted Cover Blue King Coverlet</t>
  </si>
  <si>
    <t>Hotel Collection Dimensional Queen Quilted Cove Blue FullQueen Coverlet</t>
  </si>
  <si>
    <t>Hotel Collection Dimensional Quilted King Sham Blue King Sham</t>
  </si>
  <si>
    <t>Exclusive Home Exclusive Home Marquise 1 Cur Silver 66-120in</t>
  </si>
  <si>
    <t>Exclusive Home Exclusive Home Napoleon Outdoo Brown ONE SIZE</t>
  </si>
  <si>
    <t>CHF Miami 47 Window Shade Natural</t>
  </si>
  <si>
    <t>Martha Stewart Collection Martha Stewart Bedford Woven P White 50x84</t>
  </si>
  <si>
    <t>Morgan Home LAST ACT Holiday Print Plush Holiday Truck No Size</t>
  </si>
  <si>
    <t>Morgan Home Typography 18 x 18 Decorative Faith No Size</t>
  </si>
  <si>
    <t>Morgan Home Victoria 18x 18 Decorative Pil Grey No Size</t>
  </si>
  <si>
    <t>Infinity Home Novelty Print Fleece Throws Words to Live By 50x60</t>
  </si>
  <si>
    <t>Elite Home Microfiber Whimsical Full Shee Camper Caravan Full</t>
  </si>
  <si>
    <t>Siscovers Siscovers Renaissance Decorati Grn Beige</t>
  </si>
  <si>
    <t>F. Scott Fitzgerald F Scott Fitzgerald Rhythm and Light Beig</t>
  </si>
  <si>
    <t>Madison Park 3M Microcell 4-Pc. Queen Sheet Blue Queen</t>
  </si>
  <si>
    <t>Urban Habitat Brooklyn Cotton 7-Pc. FullQue Pink FullQueen</t>
  </si>
  <si>
    <t>Woolrich Alton 4-Pc. King Comforter Set RedBlack King</t>
  </si>
  <si>
    <t>Hallmart Collectibles Sadie 14-Pc. California King C Blush California King</t>
  </si>
  <si>
    <t>Hallmart Collectibles Raddington 14-Pc. Geometric Fl Greysilver King</t>
  </si>
  <si>
    <t>Decopolitan Decopolitan 1-Inch Room Darken Silver</t>
  </si>
  <si>
    <t>Decopolitan Decopolitan 1-Inch Ball Telesc Bronze</t>
  </si>
  <si>
    <t>Decopolitan Decopolitan Trumpet Curtain Ro Coffee Bean 66-120in</t>
  </si>
  <si>
    <t>Ella Jayne Ella Jayne Wearable Weighted S Gray No Size</t>
  </si>
  <si>
    <t>Ella Jayne Reversible Brushed Microfiber Rose King</t>
  </si>
  <si>
    <t>Ella Jayne Allergy -Free Dust Mite Free M White Full</t>
  </si>
  <si>
    <t>Ella Jayne Big and Soft Mattress Pad - Tw White Twin</t>
  </si>
  <si>
    <t>Cassadecor Cassadecor Lacca Solid Lacquer White ONE SIZE</t>
  </si>
  <si>
    <t>Hotel Collection Borderline 16 x 30 Hand Towe Blue Hand Towels</t>
  </si>
  <si>
    <t>Whim by Martha Stewart Seersucker 3-Pc. FullQueen Co White FullQueen</t>
  </si>
  <si>
    <t>Whim by Martha Stewart Seersucker 3-Pc. King Comforte White King</t>
  </si>
  <si>
    <t>Hotel Collection Basic Cane Quilted King Sham White King Sham</t>
  </si>
  <si>
    <t>Hotel Collection Cotton 680 Thread Count Califo White California King</t>
  </si>
  <si>
    <t>Hotel Collection Cotton 680 Thread Count Set of White King Pillowcase</t>
  </si>
  <si>
    <t>Hotel Collection Cotton 680 Thread Count Extra- White King</t>
  </si>
  <si>
    <t>Hotel Collection Fresco European Sham Gold European Sham</t>
  </si>
  <si>
    <t>Charter Club Damask Supima Cotton 550-Threa Stone Dark Grey Queen</t>
  </si>
  <si>
    <t>Charter Club Damask Stripe Supima Cotton 55 Taupe Queen</t>
  </si>
  <si>
    <t>Charter Club Damask Stripe Supima Cotton 55 Granite Dark Grey King</t>
  </si>
  <si>
    <t>Charter Club Damask Supima Cotton 550-Threa Horizon Sky Blue King</t>
  </si>
  <si>
    <t>Charter Club Damask Supima Cotton 550-Threa White Queen</t>
  </si>
  <si>
    <t>Charter Club Damask Stripe Supima Cotton 55 Vapor Light Blue King</t>
  </si>
  <si>
    <t>Charter Club Ultra Fine Cotton 800-Thread C White King</t>
  </si>
  <si>
    <t>Calvin Klein Modern Cotton Body Twin XL Fit Charcoal Twin Extra Long Fitted</t>
  </si>
  <si>
    <t>Martha Stewart Collection Solid Open Stock 400-Thread Co Storm Cloud Dark Grey Queen Fitted</t>
  </si>
  <si>
    <t>Karin Maki Karin Maki American Denim 5 Pi Blue</t>
  </si>
  <si>
    <t>KARIN MAKI/VISI-ONE INC</t>
  </si>
  <si>
    <t>Charter Club Egyptian Cotton 700-Thread Cou White King Pillowcase</t>
  </si>
  <si>
    <t>Charter Club Damask Designs Watercolor Leaf Grey European Sham</t>
  </si>
  <si>
    <t>Martha Stewart Collection Essentials Jersey 4-Pc. King S Heathered Purple King</t>
  </si>
  <si>
    <t>Charter Club Superluxe 300-Thread Count Sof White Standard</t>
  </si>
  <si>
    <t>Charter Club Damask Designs Oak Leaf Cotton Green European Sham</t>
  </si>
  <si>
    <t>SOLID FL SS PINK 500</t>
  </si>
  <si>
    <t>Hotel Collection Hotel Collection Italian Perca Silver King Pillowcase</t>
  </si>
  <si>
    <t>Hotel Collection Hotel Collection Italian Perca White King Pillowcase</t>
  </si>
  <si>
    <t>Hotel Collection Cotton SmallMedium Spa Robe Soft Mint LXL</t>
  </si>
  <si>
    <t>Charter Club Continuous Comfort Medium Stan White Standard</t>
  </si>
  <si>
    <t>Hotel Collection CLOSEOUT Hotel Collection Cla White European Sham</t>
  </si>
  <si>
    <t>Hotel Collection Hotel Collection Classic 100 Ivory Queen</t>
  </si>
  <si>
    <t>ASTRID FQ DVT</t>
  </si>
  <si>
    <t>Hotel Collection LAST ACT Hotel Collection Hon Mink 18x18</t>
  </si>
  <si>
    <t>Hotel Collection Hotel Collection Bedford Geo 1 Grey Decorative Pillow</t>
  </si>
  <si>
    <t>Hotel Collection Hotel Collection Tessellate Qu Lightpastel Gr King Sham</t>
  </si>
  <si>
    <t>Charter Club Egyptian Cotton 13 x 13 Wash White Lily Washcloths</t>
  </si>
  <si>
    <t>Charter Club Damask Designs Floral Blooms 3 Grey FullQueen</t>
  </si>
  <si>
    <t>Hotel Collection Channels King Comforter Create White King</t>
  </si>
  <si>
    <t>Martha Stewart Collection Holiday Yarn-Dye FullQueen Qu Red FullQueen</t>
  </si>
  <si>
    <t>Charter Club Continuous Cool Soft King Pill White King</t>
  </si>
  <si>
    <t>Charter Club Continuous Support Extra Firm White King</t>
  </si>
  <si>
    <t>Charter Club Continuous Support Medium Firm White Standard</t>
  </si>
  <si>
    <t>Hotel Collection Linen Blend King Sham, Created Natural King Sham</t>
  </si>
  <si>
    <t>Hotel Collection Ginkgo King Coverlet Champagne King Coverlet</t>
  </si>
  <si>
    <t>Hotel Collection Cloudscape Standard Sham, Crea Blush Standard Sham</t>
  </si>
  <si>
    <t>Martha Stewart Collection Martha Stewart Collection Amer Blue FullQueen</t>
  </si>
  <si>
    <t>Hotel Collection Structure King Coverlet, Creat White King Coverlet</t>
  </si>
  <si>
    <t>Martha Stewart Collection Metallic Paisley 3-Piece Full Paisley FullQueen</t>
  </si>
  <si>
    <t>Hotel Collection Broken Stripe Queen Coverlet, Charcoal FullQueen Coverlet</t>
  </si>
  <si>
    <t>Martha Stewart Collection Amalfi Stripe Standard Sham, C Teal Standard Sham</t>
  </si>
  <si>
    <t>Fairfield Square Collection Austin 6-Pc. Reversible Comfor Red Queen</t>
  </si>
  <si>
    <t>Units</t>
  </si>
  <si>
    <t>Value</t>
  </si>
  <si>
    <t>UPC</t>
  </si>
  <si>
    <t>ITEM DESCRIPTION</t>
  </si>
  <si>
    <t>ORIGINAL QTY</t>
  </si>
  <si>
    <t>TOTAL ORIGINAL RETAIL</t>
  </si>
  <si>
    <t>COLOR</t>
  </si>
  <si>
    <t>DEPARTMENT NAME</t>
  </si>
  <si>
    <t>VENDOR NAME</t>
  </si>
  <si>
    <t>IMAGE</t>
  </si>
  <si>
    <t>SILVER</t>
  </si>
  <si>
    <t>SHEETS &amp;CASES</t>
  </si>
  <si>
    <t>Ella Jayne Overstuffed Plush MediumFirm White King</t>
  </si>
  <si>
    <t>WHITE</t>
  </si>
  <si>
    <t>PILLWS&amp;PADS</t>
  </si>
  <si>
    <t>ELLA JAYNE/PILLOW GUY INC</t>
  </si>
  <si>
    <t>GRAY</t>
  </si>
  <si>
    <t>MOD BEDDING</t>
  </si>
  <si>
    <t>CHIC HOME DESIGN LLC</t>
  </si>
  <si>
    <t>DEC PILL/THRW</t>
  </si>
  <si>
    <t>LUSH DECOR/TRIANGLE HOME FASHIONS</t>
  </si>
  <si>
    <t>NAVY</t>
  </si>
  <si>
    <t>NATURAL</t>
  </si>
  <si>
    <t>IENJOY HOME/IENJOY LLC</t>
  </si>
  <si>
    <t>JLA HOME/E &amp; E CO LTD</t>
  </si>
  <si>
    <t>HOTEL LUX BDG</t>
  </si>
  <si>
    <t>HOTEL BY C CLUB-EDI/RWI/KADRI MILLS</t>
  </si>
  <si>
    <t>BATH RUGS/ACC</t>
  </si>
  <si>
    <t>Royal Luxe White Goose 240-Thread Count K White King</t>
  </si>
  <si>
    <t>DOWN COMFORTR</t>
  </si>
  <si>
    <t>BLUE RIDGE HOME FASHIONS</t>
  </si>
  <si>
    <t>MED PURPLE</t>
  </si>
  <si>
    <t>ELITE HOME PRODUCTS INC</t>
  </si>
  <si>
    <t>CHARCOAL</t>
  </si>
  <si>
    <t>TRAD TXTL COL</t>
  </si>
  <si>
    <t>J QUEEN NEW YORK INC</t>
  </si>
  <si>
    <t>TURQ/AQUA</t>
  </si>
  <si>
    <t>CC MOD BEDDNG</t>
  </si>
  <si>
    <t>CHARTER CLUB-EDI/RWI/VTX</t>
  </si>
  <si>
    <t>PB TOWELS</t>
  </si>
  <si>
    <t>MMG-HOTEL BY CC</t>
  </si>
  <si>
    <t>SUNHAM CO USA</t>
  </si>
  <si>
    <t>Fairfield Square Collection Paris Gold 8-Pc. Reversible Qu White Queen</t>
  </si>
  <si>
    <t>LT/PASBLUE</t>
  </si>
  <si>
    <t>ELRENE HOME FASHIONS</t>
  </si>
  <si>
    <t>DIGITALPRINTS USA CORP</t>
  </si>
  <si>
    <t>LT BEIGE</t>
  </si>
  <si>
    <t>S LICHTENBERG &amp; CO.</t>
  </si>
  <si>
    <t>Sunham Colesville 3-Pc. Comforter Set Blush FullQueen</t>
  </si>
  <si>
    <t>RED</t>
  </si>
  <si>
    <t>RUSTCOPPER</t>
  </si>
  <si>
    <t>AQ TEXTILES</t>
  </si>
  <si>
    <t>BLACK</t>
  </si>
  <si>
    <t>BROWN</t>
  </si>
  <si>
    <t>Martha Stewart Collection Quick Dry Reversible Bath Towe Platinum Gray Bath Towels</t>
  </si>
  <si>
    <t>MARTHA STEWART-EDI/RWI/WELSPUN</t>
  </si>
  <si>
    <t>MED BLUE</t>
  </si>
  <si>
    <t>HOME DESIGN STUDIO-EDI/WELSPUN</t>
  </si>
  <si>
    <t>CRC GENERIC</t>
  </si>
  <si>
    <t>NO COLOR</t>
  </si>
  <si>
    <t>UPC DEFAULT</t>
  </si>
  <si>
    <t>NON-MRCHNDSE USE ONLY</t>
  </si>
  <si>
    <t>GREEN</t>
  </si>
  <si>
    <t>WATERFORD/W-C HOME FASHIONS LLC</t>
  </si>
  <si>
    <t>NEO COLLECTNS</t>
  </si>
  <si>
    <t>PERI HOME/CHF INDUSTRIES</t>
  </si>
  <si>
    <t>BLUE</t>
  </si>
  <si>
    <t>LAURA ASHLEY/REVMAN INTERNATIONAL</t>
  </si>
  <si>
    <t>YOUNG CL HOME</t>
  </si>
  <si>
    <t>JUICY/YMF CARPET INC</t>
  </si>
  <si>
    <t>MED ORANGE</t>
  </si>
  <si>
    <t>CATHAY HOME INC</t>
  </si>
  <si>
    <t>Charter Club Egyptian Cotton 700-Thread Cou White King</t>
  </si>
  <si>
    <t>CHARTER CLUB-EDI/BIRLA CENTURY</t>
  </si>
  <si>
    <t>Martha Stewart Collection Allergy Wise Dobby Stripe Full White FullQueen</t>
  </si>
  <si>
    <t>PB COMFORTERS</t>
  </si>
  <si>
    <t>MMG-MARTHA STEWART/KEECO LLC</t>
  </si>
  <si>
    <t>LT/PAS GRY</t>
  </si>
  <si>
    <t>HOTEL BY CC-EDI/RWI/SARITA HANDA</t>
  </si>
  <si>
    <t>Charter Club Damask Stripe Supima Cotton 55 White Full</t>
  </si>
  <si>
    <t>WINE</t>
  </si>
  <si>
    <t>PB BLANKETS</t>
  </si>
  <si>
    <t>Royal Luxe Royal Luxe Microfiber Color Do White King</t>
  </si>
  <si>
    <t>CHF INDUSTRIES INC</t>
  </si>
  <si>
    <t>PEM AMERICA INC</t>
  </si>
  <si>
    <t>DARKPURPLE</t>
  </si>
  <si>
    <t>MRTH STWRT WH</t>
  </si>
  <si>
    <t>DARK BLUE</t>
  </si>
  <si>
    <t>DONNA KARAN HOME/CHF INDUSTRIES</t>
  </si>
  <si>
    <t>DARK GRAY</t>
  </si>
  <si>
    <t>MED BEIGE</t>
  </si>
  <si>
    <t>Hotel Collection 680 Thread-Count King Duvet Co White King</t>
  </si>
  <si>
    <t>HOTEL COLLECTION-MMG/HIMATSINGKA</t>
  </si>
  <si>
    <t>EDDIE BAUER/REVMAN INTERNATIONAL</t>
  </si>
  <si>
    <t>LT/PAS YEL</t>
  </si>
  <si>
    <t>LEVTEX BABY/LEVTEX LLC</t>
  </si>
  <si>
    <t>MEDIUM RED</t>
  </si>
  <si>
    <t>TOWELS</t>
  </si>
  <si>
    <t>CHARTER CLUB-EDI/RWI/NAISHAT</t>
  </si>
  <si>
    <t>GOLD</t>
  </si>
  <si>
    <t>EXCLUSIVE HOME/AMALGAMATED TEXTILES</t>
  </si>
  <si>
    <t>PREMIER COMFORT/E &amp; E CO LTD</t>
  </si>
  <si>
    <t>PILLOW PERFECT</t>
  </si>
  <si>
    <t>AMERICAN TEXTILE</t>
  </si>
  <si>
    <t>MED PINK</t>
  </si>
  <si>
    <t>MMG-ESSENTIALS BY MARTHA/JLA HOME</t>
  </si>
  <si>
    <t>Sunham Colesville 3-Pc. Comforter Set Blush King</t>
  </si>
  <si>
    <t>DARK BEIGE</t>
  </si>
  <si>
    <t>MS COL SHEETS</t>
  </si>
  <si>
    <t>MARTHA STEWART-EDI/RWI/NAISHAT</t>
  </si>
  <si>
    <t>ESPRESSO</t>
  </si>
  <si>
    <t>LT/PAS BWN</t>
  </si>
  <si>
    <t>NANSHING AMERICA INC</t>
  </si>
  <si>
    <t>BEIGEKHAKI</t>
  </si>
  <si>
    <t>EX-CELL HOME FASHIONS INC</t>
  </si>
  <si>
    <t>PURPLE</t>
  </si>
  <si>
    <t>YELLOW</t>
  </si>
  <si>
    <t>NAUTICA/REVMAN INTERNATIONAL</t>
  </si>
  <si>
    <t>LT/PASPINK</t>
  </si>
  <si>
    <t>HALLMART COLLECTIBLES INC</t>
  </si>
  <si>
    <t>BEIGE</t>
  </si>
  <si>
    <t>LEVINSOHN TEXTILE CO INC</t>
  </si>
  <si>
    <t>PILLOWS &amp; PAD</t>
  </si>
  <si>
    <t>MAINSTREAM INTERNATIONAL INC</t>
  </si>
  <si>
    <t>LT/PAS GRN</t>
  </si>
  <si>
    <t>Hallmart Collectibles Sadie 14-Pc. Queen Comforter S Blush Queen</t>
  </si>
  <si>
    <t>COSMOLIVING/E &amp; E CO LTD/JLA HOME</t>
  </si>
  <si>
    <t>Hotel Collection 680 Thread-Count Queen Duvet C White FullQueen</t>
  </si>
  <si>
    <t>CITY SCENE/REVMAN INTERNATIONAL INC</t>
  </si>
  <si>
    <t>PINK</t>
  </si>
  <si>
    <t>MED GREEN</t>
  </si>
  <si>
    <t>SensorGel Cool Coat Arctic Gusset Gel In White Standard</t>
  </si>
  <si>
    <t>SOFT-TEX MFG CO/SOFT-TEX INT'L INC</t>
  </si>
  <si>
    <t>RIZZY HOME/RIZTEX USA INC</t>
  </si>
  <si>
    <t>DARK PINK</t>
  </si>
  <si>
    <t>MMG-MARTHA STEWART/YUNUS</t>
  </si>
  <si>
    <t>MEDIUN RED</t>
  </si>
  <si>
    <t>TOMMY HILFIGER/HIMATSINGKA AMERICA</t>
  </si>
  <si>
    <t>Martha Stewart Collection Quick Dry Reversible Wash Towe Ivory Washcloths</t>
  </si>
  <si>
    <t>CHRISTIAN SIRIANO HOME/PEM AMERICA</t>
  </si>
  <si>
    <t>J Queen New York Sandstone Boudoir Decorative T Beige No Size</t>
  </si>
  <si>
    <t>BEDGEAR LLC</t>
  </si>
  <si>
    <t>CHRT CLB DSGN</t>
  </si>
  <si>
    <t>CHARTER CLUB/SHANGHAI SUNWIN IN</t>
  </si>
  <si>
    <t>BRNOVERFLW</t>
  </si>
  <si>
    <t>CHARTER CLUB-EDI/DOWNLITE INT'L</t>
  </si>
  <si>
    <t>Dr. Oz Good Life Dr. Oz Good Life Say Goodnight White Standard</t>
  </si>
  <si>
    <t>MALOUF/CVB INC</t>
  </si>
  <si>
    <t>POPULAR BATH PRODUCTS</t>
  </si>
  <si>
    <t>HOME ACCENT PILLOW INC</t>
  </si>
  <si>
    <t>SensorGel Cool Fusion Standard Pillow wi White Standard</t>
  </si>
  <si>
    <t>MORNING GLAMOUR/TCG CONTINUUM LLC</t>
  </si>
  <si>
    <t>MED GRAY</t>
  </si>
  <si>
    <t>PB SEASON BED</t>
  </si>
  <si>
    <t>MARTHA STEWART-MMG/COLLECTION 43417</t>
  </si>
  <si>
    <t>RIO HOME FASHIONS</t>
  </si>
  <si>
    <t>HOTEL BY C CLUB-EDI/RWI/FA</t>
  </si>
  <si>
    <t>IDEA NUOVA INC</t>
  </si>
  <si>
    <t>HOME WEAVERS INC</t>
  </si>
  <si>
    <t>LT/PAS PUR</t>
  </si>
  <si>
    <t>NATORI/JLA HOME/E &amp; E CO LTD</t>
  </si>
  <si>
    <t>HOTEL BY CHARTER CLUB-MMG</t>
  </si>
  <si>
    <t>HOTEL COLLECTION-EDI/RWI/PACFUNG</t>
  </si>
  <si>
    <t>LINUM HOME TEXTILES LLC</t>
  </si>
  <si>
    <t>SISCOVERS/SIS ENTERPRISES INC</t>
  </si>
  <si>
    <t>WELSPUN USA INC</t>
  </si>
  <si>
    <t>Sun Zero Sun Zero Cyrus 40 x 96 Therm Linen 40x96</t>
  </si>
  <si>
    <t>Hotel Collection Hotel Collection Finest Elegan Mica Hand Towels</t>
  </si>
  <si>
    <t>DARK RED</t>
  </si>
  <si>
    <t>Charter Club Damask Designs Seersucker 150- White Grey King</t>
  </si>
  <si>
    <t>MMG-CHARTER CLUB</t>
  </si>
  <si>
    <t>CHARTER CLUB-EDI/RWI/LAMEIRINHO</t>
  </si>
  <si>
    <t>Hotel Collection Cotton 680 Thread Count King F White King</t>
  </si>
  <si>
    <t>ENCHANTE HOME/TURKO TEXTILE LLC</t>
  </si>
  <si>
    <t>SANDERS COLLECTION</t>
  </si>
  <si>
    <t>Hotel Collection Dimensional Quilted European S Blue European Sham</t>
  </si>
  <si>
    <t>LAURA ASHLEY/KENNEDY INTL INC</t>
  </si>
  <si>
    <t>MARTHA STEWART-EDI/E &amp; E CO LTD</t>
  </si>
  <si>
    <t>ORANGE</t>
  </si>
  <si>
    <t>HAPPYCARE TEXTILES INC</t>
  </si>
  <si>
    <t>Hotel Collection Hotel Collection Finest Elegan White Bath Towels</t>
  </si>
  <si>
    <t>PB-BTH-RUG/AC</t>
  </si>
  <si>
    <t>Hotel Collection European White Goose Down Medi White King</t>
  </si>
  <si>
    <t>HOTEL BY C CLUB-EDI/PHOENIX DOWN</t>
  </si>
  <si>
    <t>CALVIN KLEIN HOME/HIMATSINGKA AMER</t>
  </si>
  <si>
    <t>LACOSTE/SUNHAM HOME FASHIONS</t>
  </si>
  <si>
    <t>ienjoy Home The Timeless Classics by Home Pale Blue Soft Wheat King</t>
  </si>
  <si>
    <t>Hotel Collection Primaloft 450-Thread Count Sof White King</t>
  </si>
  <si>
    <t>HOTEL BY CHARTER CLUB-EDI/DOWNLITE</t>
  </si>
  <si>
    <t>CHARTER CLUB-MMG</t>
  </si>
  <si>
    <t>FRENCH CONNECTION/YMF CARPET INC</t>
  </si>
  <si>
    <t>SensorGel Dual Comfort, Gel-Infused Memo White Standard</t>
  </si>
  <si>
    <t>SARO TRADING COMPANY</t>
  </si>
  <si>
    <t>KEECO LLC/GRASSI ASSOCIATES INC</t>
  </si>
  <si>
    <t>RIGHT CHOICE BEDDING CORP</t>
  </si>
  <si>
    <t>ienjoy Home Home Collection Premium Pleate Light Gray Queen</t>
  </si>
  <si>
    <t># of Pallets</t>
  </si>
  <si>
    <t>Hotel Collection European White Goose Down Ligh White King</t>
  </si>
  <si>
    <t>Charter Club White Down Heavyweight King Co White King</t>
  </si>
  <si>
    <t>Hotel Collection Dimensional FullQueen Comfort Blue FullQueen</t>
  </si>
  <si>
    <t>JETRICH CANADA LIMITED</t>
  </si>
  <si>
    <t>Hotel Collection Hotel Collection Luxury Down A White King</t>
  </si>
  <si>
    <t>Hotel Collection Primaloft Silver Series Hi Lof White King</t>
  </si>
  <si>
    <t>CHARISMA/PEM AMERICA INC</t>
  </si>
  <si>
    <t>MED BROWN</t>
  </si>
  <si>
    <t>Dr. Oz Good Life Dr. Oz Good Life Stay the Nigh White Standard</t>
  </si>
  <si>
    <t>TOMMY BAHAMA/REVMAN INT'L</t>
  </si>
  <si>
    <t>KASSATEX INC</t>
  </si>
  <si>
    <t>ASSORTED</t>
  </si>
  <si>
    <t>Hallmart Collectibles Tilan 9-Pc. Embroidered Geo Ca Whiteblack California King</t>
  </si>
  <si>
    <t>Addison Park Bellagio King 9-Pc. Comforter Brown King</t>
  </si>
  <si>
    <t>Charter Club Damask Cotton 210-Thread Count Parchment FullQueen</t>
  </si>
  <si>
    <t>Charter Club Medium Firm StandardQueen Dow White StandardQueen</t>
  </si>
  <si>
    <t>TEXTILES-EUROPE INC</t>
  </si>
  <si>
    <t>Charter Club Damask Supima Cotton 550-Threa Horizon Sky Blue Queen</t>
  </si>
  <si>
    <t>Charter Club Dual Warmth Two-in-One King Co White King</t>
  </si>
  <si>
    <t>CHARTER CLUB-EDI/JLA HOME</t>
  </si>
  <si>
    <t>Cottage Classics Cottage Classics Farmhouse Str Beige FullQueen</t>
  </si>
  <si>
    <t>HOTEL COLLECTION-EDI/JLA HOME</t>
  </si>
  <si>
    <t>Fairfield Square Collection Aspen T1000 CVC King sheet set Grey King</t>
  </si>
  <si>
    <t>Hallmart Collectibles Sirliya 8-Pc. Reversible Tropi Aquapink King</t>
  </si>
  <si>
    <t>Fairfield Square Collection Paris Gold 8-Pc. Reversible Qu White King</t>
  </si>
  <si>
    <t>Fairfield Square Collection Odyssey Reversible 8-Pc. Comfo Wine King</t>
  </si>
  <si>
    <t>BRIGHT RED</t>
  </si>
  <si>
    <t>Fairfield Square Collection Inez 8-Pc. Reversible King Com Multi King</t>
  </si>
  <si>
    <t>Hotel Collection Cotton 680 Thread Count Queen White Queen</t>
  </si>
  <si>
    <t>Hallmart Collectibles Fiosa 8-Pc. Reversible Queen C Plumblush Queen</t>
  </si>
  <si>
    <t>Fairfield Square Collection Aspen T1000 CVC Queen sheet se White Queen</t>
  </si>
  <si>
    <t>KEECO LLC</t>
  </si>
  <si>
    <t>ARLEE HOME FASHIONS</t>
  </si>
  <si>
    <t>Hotel Collection Hotel Collection Bedford Geo E Wheat European Sham</t>
  </si>
  <si>
    <t>Sun Zero Sun Zero Oslo Grommet Theater Silver-Tone 52x108</t>
  </si>
  <si>
    <t>SOUTHSHORE FINE LIN/BARGAIN ONLINE</t>
  </si>
  <si>
    <t>MOD LIFESTYLES</t>
  </si>
  <si>
    <t>AVANTI LINENS/AVANTI LINENS INC</t>
  </si>
  <si>
    <t>ESSENTIALS BY MARTHA/JLA HOME</t>
  </si>
  <si>
    <t>Royal Luxe Royal Luxe Microfiber Color Do White FullQueen</t>
  </si>
  <si>
    <t>Martha Stewart Collection Feels Like Down King Firm Pill White King</t>
  </si>
  <si>
    <t>MARTHA STEWART-EDI/DOWNLITE</t>
  </si>
  <si>
    <t>BERKSHIRE BLANKET</t>
  </si>
  <si>
    <t>COTTONLOFT/EPOCH HOMETEX INC</t>
  </si>
  <si>
    <t>ENVOGUE INTERNATIONAL LLC</t>
  </si>
  <si>
    <t>Charter Club Continuous Comfort Soft King P White King</t>
  </si>
  <si>
    <t>DISNEY/JAY FRANCO &amp; SONS</t>
  </si>
  <si>
    <t>Disney 2-Pc. Travel Blanket Santa H Marvel Spiderman Standard</t>
  </si>
  <si>
    <t>PILLOW GUY INC</t>
  </si>
  <si>
    <t>ELEGANT COMFORT/BESPOLITAN INC</t>
  </si>
  <si>
    <t>MARTHA S-EDI/RWI/PEM-SHEETS</t>
  </si>
  <si>
    <t>KENNEY MANUFACTURING COMPANY</t>
  </si>
  <si>
    <t>DEC PIL/THRWS</t>
  </si>
  <si>
    <t>Martha Stewart Collection Essentials 2-Pack King Pillow White King</t>
  </si>
  <si>
    <t>MARTHA STEWART-EDI/KEECO LLC</t>
  </si>
  <si>
    <t>SensorGel Any Position StandardQueen Pi White Standard</t>
  </si>
  <si>
    <t>Martha Stewart Collection Essentials 2-Pack StandardQue White StandardQueen</t>
  </si>
  <si>
    <t>Martha Stewart Collection Quick Dry Reversible Bath Towe White Bath Towels</t>
  </si>
  <si>
    <t>Home Design Cotton 27.6 x 54 Bath Towel Medium Grey Bath Towels</t>
  </si>
  <si>
    <t>Hotel Collection Ultimate MicroCotton 16 x 30 White Hand Towels</t>
  </si>
  <si>
    <t>INDOCOUNT/MMG-CHARTER CLUB</t>
  </si>
  <si>
    <t>MINDS INSYNC INC</t>
  </si>
  <si>
    <t>ROYAL HERITAGE HOME/ROSELLI TRADING</t>
  </si>
  <si>
    <t>PEGASUS HOME FASHIONS</t>
  </si>
  <si>
    <t>#</t>
  </si>
  <si>
    <t>Dr. Oz Good Life Dr. Oz Good Life Sleeping with White King</t>
  </si>
  <si>
    <t>Charter Club Damask Designs Printed Leaves Green FullQueen</t>
  </si>
  <si>
    <t>DARK GREEN</t>
  </si>
  <si>
    <t>INDECOR HOME LLC</t>
  </si>
  <si>
    <t>SensorPEDIC Classic Contour Memory Foam Be White Standard</t>
  </si>
  <si>
    <t>Martha Stewart Collection Essentials Classic Quilted Que White Queen</t>
  </si>
  <si>
    <t>Hotel Collection Burnish Bronze King Duvet, Cre Bronze King</t>
  </si>
  <si>
    <t>Hallmart Collectibles Gissing 12-Pc. Reversible Quee Bluepink Queen</t>
  </si>
  <si>
    <t>VICTORIA/TEXTILES FROM EUROPE</t>
  </si>
  <si>
    <t>CHINA FORTUNE LLC</t>
  </si>
  <si>
    <t>MORGAN HOME FASHIONS</t>
  </si>
  <si>
    <t>Pem America Paris 3-Pc. King Comforter Min Blush King</t>
  </si>
  <si>
    <t>COZY HOME FASHION/SANDER SALES ENT</t>
  </si>
  <si>
    <t>Infinity Home 2pk 18 square Textured Decora Navy No Size</t>
  </si>
  <si>
    <t>Hotel Collection Borderline 30 x 56 Bath Towe Grey Bath Towels</t>
  </si>
  <si>
    <t>MMG-MARTHA STEW/E AND E (JLA HOME)</t>
  </si>
  <si>
    <t>DOWN LITE INTERNATIONAL</t>
  </si>
  <si>
    <t>Charter Club Down Alternative Super Luxe 30 White FullQueen</t>
  </si>
  <si>
    <t>ALLIED HOME LLC</t>
  </si>
  <si>
    <t>COMFORT REVOLUTION LLC</t>
  </si>
  <si>
    <t>Charter Club Charter Club Sleep Soft 300-Th Lily Cream Queen</t>
  </si>
  <si>
    <t>PROLOGUE 50X70 SOLID</t>
  </si>
  <si>
    <t>NORTHPOINT TRADING INC</t>
  </si>
  <si>
    <t>Charter Club Damask Designs Diamond Dot 300 White King</t>
  </si>
  <si>
    <t>Hallmart Collectibles Maxson 12-Pc. Reversible King Gray King</t>
  </si>
  <si>
    <t>Puredown Puredown Pillow StandardQueen White StandardQueen</t>
  </si>
  <si>
    <t>ST JAMES HOME INC</t>
  </si>
  <si>
    <t>Hotel Collection Primaloft 450-Thread Count Sof White Standard</t>
  </si>
  <si>
    <t>CC CONT SPRT DISPLAY</t>
  </si>
  <si>
    <t>Charter Club Medium Firm King Down Pillow White King</t>
  </si>
  <si>
    <t>SKY TEXTILES-BLM</t>
  </si>
  <si>
    <t>Hotel Collection Primaloft 450-Thread Count Fir White King</t>
  </si>
  <si>
    <t>Hallmart Collectibles Palcita 12-Pc. Reversible Full Blushblack Full</t>
  </si>
  <si>
    <t>Hotel Collection Dimensional Quilted Standard S Blue Standard Sham</t>
  </si>
  <si>
    <t>Martha Stewart Collection Allergy Wise Dobby Stripe Firm White King</t>
  </si>
  <si>
    <t>Charter Club Damask Cotton 210-Thread Count Navy King</t>
  </si>
  <si>
    <t>TRIBECA LIVING/MARWAH CORPORATION</t>
  </si>
  <si>
    <t>Hotel Collection Skyline Standard Sham, Created Oyster Standard Sham</t>
  </si>
  <si>
    <t>NATCO/WINDHAM WEAVE/WINDHAM TRADING</t>
  </si>
  <si>
    <t>Hallmart Collectibles Sadie 14-Pc. King Comforter Se Blush King</t>
  </si>
  <si>
    <t>Charter Club Damask Thin Stripe Cotton 550- Neo Natural King</t>
  </si>
  <si>
    <t>BRIGHT GRN</t>
  </si>
  <si>
    <t>Martha Stewart Collection Martha Stewart Essentials Reve White King</t>
  </si>
  <si>
    <t>SEASON CODE</t>
  </si>
  <si>
    <t>LOT #</t>
  </si>
  <si>
    <t>ORIGINAL RETAIL</t>
  </si>
  <si>
    <t>PRIMARILY FALL AND WINTER</t>
  </si>
  <si>
    <t>Avanti Gnome Walk Tissue Cover Multi 1</t>
  </si>
  <si>
    <t>Calvin Klein Monogram Logo Medium Support C White Queen</t>
  </si>
  <si>
    <t>Calvin Klein Monogram Logo Extra Firm Suppo White King</t>
  </si>
  <si>
    <t>Elrene Elrene All Seasons Faux Silk 5 Antique Gold 52x95</t>
  </si>
  <si>
    <t>Elrene Elrene Athena 52 X 108 Windo Gold 52x108</t>
  </si>
  <si>
    <t>No. 918 No. 918 Sheer Voile 59 x 84 Navy 59x84</t>
  </si>
  <si>
    <t>No. 918 No. 918 Crushed Sheer Voile 51 Purple 51x63</t>
  </si>
  <si>
    <t>No. 918 No. 918 Crushed Sheer Voile 51 Black 51x24</t>
  </si>
  <si>
    <t>No. 918 No. 918 Crushed Sheer Voile 51 Taupe 51x24</t>
  </si>
  <si>
    <t>No. 918 No. 918 Crushed Sheer Voile 51 Mineral 51x63</t>
  </si>
  <si>
    <t>No. 918 No. 918 Crushed Sheer Voile 51 Red 51x95</t>
  </si>
  <si>
    <t>No. 918 No. 918 Crushed Sheer Voile 51 Navy 51x95</t>
  </si>
  <si>
    <t>No. 918 No. 918 Crushed Sheer Voile 51 Yellow 51x84</t>
  </si>
  <si>
    <t>Sun Zero Ramsey 50 x 95 Chevron Jacqu Wheat 50x95</t>
  </si>
  <si>
    <t>No. 918 No. 918 Sheer Voile 59 x 95 Charcoal 59x95</t>
  </si>
  <si>
    <t>Sun Zero Lichtenberg Sun Zero Grant Sol Mineral 54x84</t>
  </si>
  <si>
    <t>Sun Zero Sun Zero Grant 54 x 72 Door Grey 54x72</t>
  </si>
  <si>
    <t>Sun Zero Sun Zero Grant 54 x 108 Grom Brick 54x108</t>
  </si>
  <si>
    <t>Sun Zero Sun Zero Grant 54 x 108 Grom Stone 54x108</t>
  </si>
  <si>
    <t>Sun Zero Sun Zero Saxon 54 x 95 Black Indigo 54x95</t>
  </si>
  <si>
    <t>Sun Zero Cooper 40 x 84 Thermal Insul Blue 40x84</t>
  </si>
  <si>
    <t>Sun Zero Sun Zero Grant 54 x 63 Gromm Grey 54x63</t>
  </si>
  <si>
    <t>No. 918 Bimini Textured Floral 51 x 8 Aegean 51x84</t>
  </si>
  <si>
    <t>Sun Zero Sun Zero Preston 40 x 95 Rod Black 40x95</t>
  </si>
  <si>
    <t>Sun Zero Sun Zero Preston 40 x 95 Rod Blush 40x95</t>
  </si>
  <si>
    <t>Sun Zero Sun Zero Preston 40 x 95 Rod Grey 40x95</t>
  </si>
  <si>
    <t>Sun Zero Sun Zero Preston 40 x 95 Rod Pearl 40x95</t>
  </si>
  <si>
    <t>Sun Zero Preston 40 x 63 Blackout Rod Sage Green 40x63</t>
  </si>
  <si>
    <t>Sun Zero Sun Zero Preston 40 x 84 Tab Navy 40x84</t>
  </si>
  <si>
    <t>Sun Zero Sun Zero Preston 40 x 84 Tab Sage 40x84</t>
  </si>
  <si>
    <t>Sun Zero Sun Zero Preston 40 x 84 Tab Stone 40x84</t>
  </si>
  <si>
    <t>Sun Zero Darren Distressed Textured Glo Camel 50x95</t>
  </si>
  <si>
    <t>Sun Zero Elidah Textured Velvet Medalli Merlot 50x84</t>
  </si>
  <si>
    <t>No. 918 No. 918 Sheer Voile 59 x 95 Eggshell 59x95</t>
  </si>
  <si>
    <t>Sun Zero Sun Zero Grant 54 x 18 Valan Flax 54x18</t>
  </si>
  <si>
    <t>DARKYELLOW</t>
  </si>
  <si>
    <t>Sun Zero Sun Zero Grant 54 x 95 Rod P Everglade 54x95</t>
  </si>
  <si>
    <t>Sun Zero Sun Zero Grant 54 x 108 Rod Taupe 54x108</t>
  </si>
  <si>
    <t>Sun Zero Lichtenberg Sun Zero Grant Sol Tangerine 54x84</t>
  </si>
  <si>
    <t>BRGHTORANG</t>
  </si>
  <si>
    <t>Sun Zero Lichtenberg Sun Zero Grant Sol Vintage Blue 54x84</t>
  </si>
  <si>
    <t>Sun Zero Sun Zero Grant 54 x 95 Gromm Vintage Blue 54x95</t>
  </si>
  <si>
    <t>Sun Zero Sun Zero Preston 40 x 63 Gro Sage 40x63</t>
  </si>
  <si>
    <t>No. 918 No. 918 Crushed Sheer Voile 51 Whisper 51x95</t>
  </si>
  <si>
    <t>Sun Zero Saki Shibori Print 40 x 95 B Navy 40x95</t>
  </si>
  <si>
    <t>Sun Zero Sun Zero Barnett 40 x 84 Tre Taupe 40x84</t>
  </si>
  <si>
    <t>Archaeo Archaeo 52 x 63 Washed Cotto White 52x63</t>
  </si>
  <si>
    <t>Sun Zero Sun Zero Riley Kids Bedroom Bl Blush 40x95</t>
  </si>
  <si>
    <t>Sun Zero Sun Zero Verve Twill Mosaic 10 Sable 52x95</t>
  </si>
  <si>
    <t>Sun Zero Patina 52 x 84 Textured Blac Cream 52x84</t>
  </si>
  <si>
    <t>Sun Zero Sun Zero Patina Crosshatch Jac Cream 52x95</t>
  </si>
  <si>
    <t>Sun Zero Sun Zero Duran Thermal Insulat Teal 50x108</t>
  </si>
  <si>
    <t>Sun Zero Sun Zero Saxon 54 x 63 Black Grey 54x63</t>
  </si>
  <si>
    <t>Sun Zero Sun Zero Duran Thermal Insulat Grey 50x108</t>
  </si>
  <si>
    <t>Sun Zero Sun Zero Cyrus Thermal Blackou White 40x84</t>
  </si>
  <si>
    <t>No. 918 Silvia Crushed Sheer 50 x 95 Blush 50x95</t>
  </si>
  <si>
    <t>Sun Zero Sun Zero Preston 40 x 63 Gro Terracotta 40x63</t>
  </si>
  <si>
    <t>DARKORANGE</t>
  </si>
  <si>
    <t>Sun Zero Allegory Abstract Painting 40 Cedar 40x84</t>
  </si>
  <si>
    <t>Sun Zero Cyrus 40 x 84 Thermal Blacko Charcoal 40x84</t>
  </si>
  <si>
    <t>Sun Zero Sun Zero Preston 40 x 84 Tab Blush 40x84</t>
  </si>
  <si>
    <t>Peri Home 12 x 18 Fringe Decorative Pi Blush</t>
  </si>
  <si>
    <t>Peri Home Peri Chenille Medallion Comfor White King</t>
  </si>
  <si>
    <t>Kenney 4-Tier Spring Tension Shower C Satin Nickel</t>
  </si>
  <si>
    <t>Tommy Hilfiger Modern American 13 x 13 Cott Red Washcloths</t>
  </si>
  <si>
    <t>Tommy Hilfiger Modern American 30 x 54 Cott White Bath Towels</t>
  </si>
  <si>
    <t>Tommy Hilfiger Modern American 13 x 13 Cott Navy Washcloths</t>
  </si>
  <si>
    <t>Croscill Esmeralda European Sham Boudeaux European Sham</t>
  </si>
  <si>
    <t>Sleep Philosophy True North by Sleep Philosophy White FullQueen</t>
  </si>
  <si>
    <t>Sleep Philosophy CLOSEOUT Sleep Philosophy Pre Ivory 60x70</t>
  </si>
  <si>
    <t>Urban Habitat Urban Habitat Brooklyn 70 x 7 Pink 70X72</t>
  </si>
  <si>
    <t>Decor Studio Elm Waffle 72 x 72 Shower Cu White 72X72</t>
  </si>
  <si>
    <t>Addison Park Bellagio Queen 9-Pc. Comforter Brown Queen</t>
  </si>
  <si>
    <t>Madison Park Madison Park Englewood 50 x 9 Charcoal 50x95</t>
  </si>
  <si>
    <t>Addison Park Bennett grey Queen 9pc Comfort Grey Queen</t>
  </si>
  <si>
    <t>Martha Stewart Collection Essentials Solid Comforter Ful Burgundy FullQueen</t>
  </si>
  <si>
    <t>Martha Stewart Collection Martha Stewart Essentials Reve White TwinTwin XL</t>
  </si>
  <si>
    <t>Martha Stewart Collection Essentials Solid Comforter Ful White FullQueen</t>
  </si>
  <si>
    <t>Martha Stewart Collection Essentials Solid Comforter Ful Grey FullQueen</t>
  </si>
  <si>
    <t>Martha Stewart Collection Essentials Solid Comforter Ful BlueNavy FullQueen</t>
  </si>
  <si>
    <t>Premier Comfort Premier Comfort Microlight Ele White Queen</t>
  </si>
  <si>
    <t>Clean Spaces Living Clean Everyday 7-Pc. So Off Whiteblue King</t>
  </si>
  <si>
    <t>Clean Spaces Living Clean Everyday 7-Pc. So Off Whitetaupe King</t>
  </si>
  <si>
    <t>Madison Park Edina 20 Square Faux-Fur Deco Black 20x20</t>
  </si>
  <si>
    <t>Sanders Solid Microfiber Queen Sheet S Ivory Queen</t>
  </si>
  <si>
    <t>Sanders Solid Microfiber Queen Sheet S Navy Queen</t>
  </si>
  <si>
    <t>Sanders Solid Microfiber King Sheet Se Plum King</t>
  </si>
  <si>
    <t>Sanders Jessica Sanders Ruffled 7 Piec White California King</t>
  </si>
  <si>
    <t>Sanders Solid Microfiber Queen Sheet S Blush Queen</t>
  </si>
  <si>
    <t>Sanders Solid Microfiber King Sheet Se Wheat King</t>
  </si>
  <si>
    <t>SensorGel Luxury Top Loft Gel Fiber Matt White King</t>
  </si>
  <si>
    <t>SensorPEDIC SofLOFT Body Pillow White No Size</t>
  </si>
  <si>
    <t>SensorPEDIC 2 Pack SofLOFT Firm Density Pi White King</t>
  </si>
  <si>
    <t>SensorGel Sensor Gel SlumberMax Hybrid 4 White King</t>
  </si>
  <si>
    <t>SensorGel Sensor Gel Smart Zone 3-Inch Q White King</t>
  </si>
  <si>
    <t>SensorGel CoolFusion Firm King Pillow White King</t>
  </si>
  <si>
    <t>SensorGel 2 Gel Swirl Memory Foam Mattr Blue Swirl California King</t>
  </si>
  <si>
    <t>Linum Home 100 Turkish Cotton Personaliz A LXL</t>
  </si>
  <si>
    <t>Fairfield Square Collection Fairfield Square Sydney 825-Th Tan King</t>
  </si>
  <si>
    <t>Fairfield Square Collection Hampton Cotton 650-Thread Coun Blue Queen</t>
  </si>
  <si>
    <t>J Queen New York Sandstone Euro Sham Beige European Sham</t>
  </si>
  <si>
    <t>Baldwin Baldwin Home Fleece Sherpa Bla Multi 60</t>
  </si>
  <si>
    <t>Elrene Huxley Geometric 52 x 95 Bla River Blue 52x95</t>
  </si>
  <si>
    <t>Linum Home Denzi 4-Pc. Hand Towel Set Light Grey</t>
  </si>
  <si>
    <t>Charter Club Elite Hygro Cotton Hand Towel Smoke Hand Towels</t>
  </si>
  <si>
    <t>Homey Cozy Homey Cozy Olivia Stripe Outdo Yellow 12x20</t>
  </si>
  <si>
    <t>Homey Cozy Homey Cozy Olivia Stripe Outdo Orange 12x20</t>
  </si>
  <si>
    <t>Bath Bliss Bath Bliss 4 Tier Corner Showe White No Size</t>
  </si>
  <si>
    <t>Ella Jayne Overstuffed Plush MediumFirm White Queen</t>
  </si>
  <si>
    <t>Hotel Collection Dimensional King Duvet Cover Blue King</t>
  </si>
  <si>
    <t>Martha Stewart Collection Martha Stewart Lucca Velvet 50 Linen 50x95</t>
  </si>
  <si>
    <t>Infinity Home Novelty Print Fleece Throws Gnomes Butterflies 50x60</t>
  </si>
  <si>
    <t>Madison Park Bellagio 6-Pc. Quilted King Co Brown King</t>
  </si>
  <si>
    <t>Martha Stewart Collection Martha Stewart Soft Fleece Que Sesame FullQueen</t>
  </si>
  <si>
    <t>Madison Park Windom FullQueen Microfiber D White FullQueen</t>
  </si>
  <si>
    <t>Madison Park Duke 20 Square Faux-Fur Decor Brown 20x20</t>
  </si>
  <si>
    <t>INKIVY Alpine Cotton Reversible King Aqua King</t>
  </si>
  <si>
    <t>Sleep Philosophy Ultra Soft Reversible BerberP Grey Full</t>
  </si>
  <si>
    <t>Hallmart Collectibles Hedron 14-Pc. King Comforter S Gold King</t>
  </si>
  <si>
    <t>Hallmart Collectibles Maxson 12-Pc. Reversible Queen Gray Queen</t>
  </si>
  <si>
    <t>Hallmart Collectibles Matt 8-Pc. Reversible Queen Co Navyivory Queen</t>
  </si>
  <si>
    <t>Hallmart Collectibles Rinley 14-Pc Queen Comforter S Navygray Queen</t>
  </si>
  <si>
    <t>Hallmart Collectibles Pagoda Floral 9-Pc. King Comfo Redgold King</t>
  </si>
  <si>
    <t>Decopolitan Montevilla 58-Inch Square Dou Bronze</t>
  </si>
  <si>
    <t>Ella Jayne Ella Jayne Wearable Weighted S Navy No Size</t>
  </si>
  <si>
    <t>Ella Jayne All-Season Soft Brushed Microf Slate Blue FullQueen</t>
  </si>
  <si>
    <t>Hotel Collection Ultimate MicroCotton 16 x 30 Lake Hand Towels</t>
  </si>
  <si>
    <t>Hotel Collection Ultimate MicroCotton 13 x 13 Lake Washcloths</t>
  </si>
  <si>
    <t>Hotel Collection Cotton 680 Thread Count Set of Rosebud King Pillowcase</t>
  </si>
  <si>
    <t>Martha Stewart Collection Spa Bath Towel Sea Spray Bath Towels</t>
  </si>
  <si>
    <t>Charter Club Damask Stripe Supima Cotton 55 Cotton Candy Light Pink Queen</t>
  </si>
  <si>
    <t>Charter Club Damask Cotton 210-Thread Count White FullQueen</t>
  </si>
  <si>
    <t>Charter Club Ultra Fine Cotton 800-Thread C Silver Light Grey King</t>
  </si>
  <si>
    <t>Martha Stewart Collection Essentials Quilted Waterproof White Queen</t>
  </si>
  <si>
    <t>Martha Stewart Collection Essentials Queen Waterproof Ma White Queen</t>
  </si>
  <si>
    <t>Micro Flannel Micro Flannel Electric Footwar Wine Country ONE SIZE</t>
  </si>
  <si>
    <t>Hotel Collection Muse FullQueen Duvet Cover Grey FullQueen</t>
  </si>
  <si>
    <t>Martha Stewart Collection Solid Open Stock 400-Thread Co Pool Blue Queen Fitted</t>
  </si>
  <si>
    <t>Martha Stewart Collection Solid Open Stock 400-Thread Co Storm Cloud Dark Grey Standard Pillowcase</t>
  </si>
  <si>
    <t>Martha Stewart Collection Solid Open Stock 400-Thread Co Cloud White Standard Pillowcase</t>
  </si>
  <si>
    <t>Charter Club Egyptian Cotton 700-Thread Cou Soft Mint Leaf King</t>
  </si>
  <si>
    <t>Charter Club Damask Stripe Cotton 550-Threa Smoke Grey California King Fitted</t>
  </si>
  <si>
    <t>Charter Club 360 Down Chamber 325-Thread Co White King</t>
  </si>
  <si>
    <t>Martha Stewart Collection Chateau FullQueen Quilt Grey FullQueen</t>
  </si>
  <si>
    <t>Martha Stewart Collection Essentials Solid Microfiber 3- Bright White Twin XL</t>
  </si>
  <si>
    <t>Charter Club Damask Collection Windowpane C Clean Chambray Twin</t>
  </si>
  <si>
    <t>Hotel Collection Hotel Collection Italian Perca White Standard Sham</t>
  </si>
  <si>
    <t>Charter Club Damask Designs 500 Thread Coun Inverted Smoke Queen</t>
  </si>
  <si>
    <t>Hotel Collection Primaloft 450-Thread Count Fir White Standard</t>
  </si>
  <si>
    <t>Charter Club Damask Thin Stripe Cotton 550- Granite Dark Grey FullQueen</t>
  </si>
  <si>
    <t>Hotel Collection Hotel Collection Terra Sham, S Grey Standard Sham</t>
  </si>
  <si>
    <t>Hotel Collection Hotel Collection Terra Decorat Grey Rectangle Decorative Pillow</t>
  </si>
  <si>
    <t>Charter Club Euro Down Alternative 300-Thre White European</t>
  </si>
  <si>
    <t>Charter Club Damask Designs Blossom 300-Thr Coral King</t>
  </si>
  <si>
    <t>Hotel Collection CLOSEOUT Hotel Collection Art White FullQueen</t>
  </si>
  <si>
    <t>Charter Club Damask Collection Thin Stripe White FullQueen</t>
  </si>
  <si>
    <t>Charter Club Damask Designs Woven Leaves 3- White FullQueen</t>
  </si>
  <si>
    <t>Hotel Collection Hotel Collection Cambria King White King Coverlet</t>
  </si>
  <si>
    <t>Hotel Collection Hotel Collection Cambria King White King</t>
  </si>
  <si>
    <t>Charter Club Egyptian Cotton 700-Thread Cou Light Blue King</t>
  </si>
  <si>
    <t>Charter Club Cotton 700-Thread Count 4-Pc. Charcoal Queen</t>
  </si>
  <si>
    <t>Charter Club Cotton 700-Thread Count 4-Pc. Light Blue Queen</t>
  </si>
  <si>
    <t>Hotel Collection Hotel Collection Tessellate Fu Lightpastel Gr FullQueen Coverlet</t>
  </si>
  <si>
    <t>Hotel Collection Hotel Collection Tessellate Ki Lightpastel Gr King</t>
  </si>
  <si>
    <t>Hotel Collection Hotel Collection Tessellate 20 Lightpastel Gr Square Decorative Pilllow</t>
  </si>
  <si>
    <t>Hotel Collection Feather Core Down Surround Sof White Standard</t>
  </si>
  <si>
    <t>Charter Club Egyptian Cotton 16 x 30 Hand Cream Beige Hand Towels</t>
  </si>
  <si>
    <t>Hotel Collection Leaflet FullQueen Comforter, Gold FullQueen</t>
  </si>
  <si>
    <t>Charter Club Damask Designs 550-Thread Coun Poppy Standard Pillowcase</t>
  </si>
  <si>
    <t>Charter Club Medallion 3-Pc. FullQueen Duv Blue FullQueen</t>
  </si>
  <si>
    <t>Charter Club Medallion 3-Pc. King Duvet Cov Blue King</t>
  </si>
  <si>
    <t>Hotel Collection Luster Geo FullQueen Comforte Celadon FullQueen</t>
  </si>
  <si>
    <t>Whim by Martha Stewart Collection Chenille Exploded F White King</t>
  </si>
  <si>
    <t>Whim by Martha Stewart Chenille Exploded Floral 2-Pc White TwinTwin XL</t>
  </si>
  <si>
    <t>Whim by Martha Stewart Watercolor Stripe 3-Pc. Revers Grey FullQueen</t>
  </si>
  <si>
    <t>Hotel Collection Ginkgo FullQueen Duvet Sage FullQueen</t>
  </si>
  <si>
    <t>Hotel Collection Ginkgo King Duvet Sage King</t>
  </si>
  <si>
    <t>Martha Stewart Collection Wedding Rings 100 Cotton King White King Sham</t>
  </si>
  <si>
    <t>Hotel Collection Structure King Comforter, Crea White King</t>
  </si>
  <si>
    <t>Hotel Collection Structure Standard Sham, Creat White Standard Sham</t>
  </si>
  <si>
    <t>Hotel Collection Structure Quilted Stanard Sham White Standard Sham</t>
  </si>
  <si>
    <t>Charter Club 500-Thread Count Cotton Sateen White Queen</t>
  </si>
  <si>
    <t>Hotel Collection Broken Stripe King Coverlet, C Charcoal King Coverlet</t>
  </si>
  <si>
    <t>Martha Stewart Collection Hello Sunshine Floral FullQue Light Blue FullQueen</t>
  </si>
  <si>
    <t>Fairfield Square Collection Austin 6-Pc. Reversible Comfor Red Twin XL</t>
  </si>
  <si>
    <t>Lacoste Home Solid Percale Pair of Standard White Standard Pillowcase</t>
  </si>
  <si>
    <t>Fairfield Square Collection Austin 6-Pc. Reversible Comfor Blue Full</t>
  </si>
  <si>
    <t>Sunham Soft Spun Cotton Bath Towel White Bath Towels</t>
  </si>
  <si>
    <t>Fairfield Square Collection Austin 6-Pc. Reversible Comfor Seafoam Queen</t>
  </si>
  <si>
    <t>Fairfield Square Collection GTHM blwwht FULL CS Blackwhite Twin XL</t>
  </si>
  <si>
    <t>Fairfield Square Collection Aspen T1000 CVC King sheet set White King</t>
  </si>
  <si>
    <t>Fairfield Square Collection Aspen T1000 CVC California Kin Ivory California King</t>
  </si>
  <si>
    <t>Fairfield Square Collection Aspen T1000 CVC Queen sheet se Blush Queen</t>
  </si>
  <si>
    <t>Sunham Alisa 3-Pc. Reversible Floral Charcoal FullQueen</t>
  </si>
  <si>
    <t>VCNY Home High Pile Plush Throw Ivory 50x60</t>
  </si>
  <si>
    <t>VCNY Home Nina 3-Pc. FullQueen Embossed Taupe FullQueen</t>
  </si>
  <si>
    <t>VCNY Home Melanie Ruffle 72 x 72 Showe Grey No Size</t>
  </si>
  <si>
    <t>VCNY Home VCNY Home Dublin Cable Knit Co Grey Throw</t>
  </si>
  <si>
    <t>VCNY Home Shore 3-Pc. Queen Embossed Qui Tan Queen</t>
  </si>
  <si>
    <t>Seventh Studio Begonia 14-Piece Shower Curtai Grey</t>
  </si>
  <si>
    <t>Victoria Classics Fireside Sherpa Throw Red 50x60</t>
  </si>
  <si>
    <t>Seventh Studio 3-Piece Guest Bath Napkin Set Pink</t>
  </si>
  <si>
    <t>Hotel Collection 500 Thread count Mattress Pa White King</t>
  </si>
  <si>
    <t>Hotel Collection European White Goose Down Heav White King</t>
  </si>
  <si>
    <t>Hotel Collection European White Goose Down Firm White Standard</t>
  </si>
  <si>
    <t>Elrene Colette Faux Silk 28 x 72 Si Taupe 28x72</t>
  </si>
  <si>
    <t>Miller Curtains Miller Curtains Angelica Volie White 59x95</t>
  </si>
  <si>
    <t>Charter Club Vail Down Medium StandardQuee White</t>
  </si>
  <si>
    <t>Charter Club White Down Lightweight FullQu White FullQueen</t>
  </si>
  <si>
    <t>Charter Club White Down Heavyweight Twin Co White Twin</t>
  </si>
  <si>
    <t>Charter Club White Down Medium Weight Full White FullQueen</t>
  </si>
  <si>
    <t>Martha Stewart Collection Cool Touch Medium StandardQue White StandardQueen</t>
  </si>
  <si>
    <t>Tommy Bahama Home Ultimate Comfort Set of Two St White Queen</t>
  </si>
  <si>
    <t>American Heritage Textiles Sienna Decorative Pillow, 11 Multi Decorative Pillow</t>
  </si>
  <si>
    <t>Earth Home Pack of 2 StandardQueen Pillo White Standard</t>
  </si>
  <si>
    <t>Hotel Collection Turkish 30 x 56 Bath Towel Vapor Bath Towels</t>
  </si>
  <si>
    <t>Truly Soft Truly Soft Pleated White King Ivory King</t>
  </si>
  <si>
    <t>Truly Soft Truly Soft Seersucker King Dow White King</t>
  </si>
  <si>
    <t>Charisma Medici Queen Duvet Cover Set Whitelavender FullQueen</t>
  </si>
  <si>
    <t>Pem America Modern Stripe 6-Pc. Twin XL Co Multi</t>
  </si>
  <si>
    <t>Pem America Banana Palm 3-Pc. Reversible K Navy Blue King</t>
  </si>
  <si>
    <t>Pem America Aaron 3-Pc. Reversible Plaid F Multiplaid FullQueen</t>
  </si>
  <si>
    <t>Ella Jayne 2 Pack Cool N Comfort Gel Fib Blue King</t>
  </si>
  <si>
    <t>Elegant Comfort Elegant Comfort Luxury Soft St Gold Full</t>
  </si>
  <si>
    <t>Elegant Comfort Elegant Comfort Bloomingdale W Black California King</t>
  </si>
  <si>
    <t>Elegant Comfort Elegant Comfort Luxurious Silk Open Blue KingCalifornia King</t>
  </si>
  <si>
    <t>Elegant Comfort Elegant Comfort Luxurious Silk Open Purpl KingCalifornia King</t>
  </si>
  <si>
    <t>Elegant Comfort Elegant Comfort Luxury Majesti Medium Gre KingCalifornia King</t>
  </si>
  <si>
    <t>Elegant Comfort Elegant Comfort Plaid Micromin Navy KingCalifornia King</t>
  </si>
  <si>
    <t>Royal Luxe Royal Luxe Microfiber Color Do Sage King</t>
  </si>
  <si>
    <t>Saro Lifestyle Saro Lifestyle Rose Flower Sta Turquoise 18x18</t>
  </si>
  <si>
    <t>DKNY DKNY Pure Fringe Stripe FullQ Gray FullQueen</t>
  </si>
  <si>
    <t>Spa 251 Waffle Complete Shower Curtain Ivory 70X72</t>
  </si>
  <si>
    <t>THRO James Pleated Velvet Pillow, 2 Black</t>
  </si>
  <si>
    <t>THRO Thro 20 x 20 Polyester Fill Silver</t>
  </si>
  <si>
    <t>Enchante Home Enchante Home Laina 8-Pc. Turk Beigekhaki Towel Sets</t>
  </si>
  <si>
    <t>Sealy Memory Foam Bed Pillow White</t>
  </si>
  <si>
    <t>Bedgear Balance 3.0 Pillow White Standard</t>
  </si>
  <si>
    <t>Cheer Collection Faux Fur 12 x 20 Throw Pillo Brown 12x20</t>
  </si>
  <si>
    <t>ienjoy Home Style Simplified by The Home C Gray Queen</t>
  </si>
  <si>
    <t>ienjoy Home The Farmhouse Chic Premium Ult Yellow Honeycomb King</t>
  </si>
  <si>
    <t>ienjoy Home Tranquil Sleep Patterned Duvet Light Blue Stripes FullQueen</t>
  </si>
  <si>
    <t>Home More Prestige Welcome 18 x 30 Coi Naturalgold ONE SIZE</t>
  </si>
  <si>
    <t>Lucid 3 Gel Foam Mattress Topper, Q Blue Queen</t>
  </si>
  <si>
    <t>Chic Home Chic Home Daya 4-Pc. Queen Duv White Queen</t>
  </si>
  <si>
    <t>Cathay Home Inc. Yarn Dyed FullQueen Duvet Cov Ivory FullQueen</t>
  </si>
  <si>
    <t>Swift Home Home Basic Easy Fit Microfiber Gray Queen</t>
  </si>
  <si>
    <t>Cathay Home Inc. Oversize Lightweight Quilt Set Light Grey FullQueen</t>
  </si>
  <si>
    <t>eLuxury eLuxury 1.5 Thick Temperature White Full</t>
  </si>
  <si>
    <t>Chic Home Chic Home Shefield 5 Piece Kin Gray King</t>
  </si>
  <si>
    <t>J Queen New York Bradshaw Black European Sham Black European Sham</t>
  </si>
  <si>
    <t>J Queen New York La Scala California King Comfo Gold California King</t>
  </si>
  <si>
    <t>J Queen New York J Queen New York Astoria 16 S White</t>
  </si>
  <si>
    <t>J Queen New York J Queen New York Astoria Queen White Queen</t>
  </si>
  <si>
    <t>Lotus Home Lotus Home Water and Stain Res Red FullQueen</t>
  </si>
  <si>
    <t>Lotus Home Lotus Home Water and Stain Res Silver FullQueen</t>
  </si>
  <si>
    <t>Lush Decor Allison Ruffle Full 3-Piece Be Turquoise Full</t>
  </si>
  <si>
    <t>Linum Home Greek Key 2-Pc. Bath Mat Set White</t>
  </si>
  <si>
    <t>Morning Glamour Morning Glamour Satin Solid Ki Silver King Pillowcase</t>
  </si>
  <si>
    <t>Tommy Bahama Home Serenity Palms FullQueen Quil Multi Aqua FullQueen</t>
  </si>
  <si>
    <t>Eddie Bauer Eddie Bauer Madrona Plaid Blue Dark Blue FullQueen</t>
  </si>
  <si>
    <t>Laura Ashley Laura Ashley Harper Green Com Bright Green Full</t>
  </si>
  <si>
    <t>Eddie Bauer Normandy Plaid Black Comforter Black King</t>
  </si>
  <si>
    <t>Laura Ashley Adelina White European Sham Pa White European Sham</t>
  </si>
  <si>
    <t>City Scene Avondale FullQueen Quilt Set Grey FullQueen</t>
  </si>
  <si>
    <t>Birch Trail 3pc Decorative Throw and Pillo Grey Snowflake 60x50</t>
  </si>
  <si>
    <t>Madison Park Windom FullQueen Microfiber D Teal FullQueen</t>
  </si>
  <si>
    <t>Hotel Collection Ornate Scroll King Comforter Ruby King</t>
  </si>
  <si>
    <t>Hotel Collection Travertine King Comforter Emse Grey King</t>
  </si>
  <si>
    <t>Hotel Collection Colorblock King Duvet, Created Caviar Black King</t>
  </si>
  <si>
    <t>Martha Stewart Collection Holiday Flannel Red Plaid Euro Red Plaid European Sham</t>
  </si>
  <si>
    <t>Oake Cotton Tencel Reversible 3-Pc. White King</t>
  </si>
  <si>
    <t>OAKE</t>
  </si>
  <si>
    <t>Hotel Collection Velvet King Coverlet, Created Ivory King Coverlet</t>
  </si>
  <si>
    <t>Caro Home Chateau Royale Lasdon hand tow Red Towel Set</t>
  </si>
  <si>
    <t>Sun Zero Sun Zero Harper Bright Vibes 1 Orange 40x96</t>
  </si>
  <si>
    <t>Hotel Collection Micro Cotton Alloy Bath Towel Vapor Combo Bath Towels</t>
  </si>
  <si>
    <t>The Mountain Home Collection LED Holiday 20 x 20 Decorati Snowflake</t>
  </si>
  <si>
    <t>AQ Textiles Sullivan 1400 thread count 4 p Teal King</t>
  </si>
  <si>
    <t>Charter Club Paisley 19 x 34 Bath Rug Grey 19 x 34</t>
  </si>
  <si>
    <t>Croscill Crosby Cotton Sateen 4 Piece S Pearl Gray King</t>
  </si>
  <si>
    <t>Sunham Holiday Tartan 8-Pc. Queen Com Red Queen</t>
  </si>
  <si>
    <t>Oake Textured Gauze King Quilt, Cre White King</t>
  </si>
  <si>
    <t>Mod Lifestyles Sculpted Daffodils Decorative Pastel Blue 18x18</t>
  </si>
  <si>
    <t>Hallmart Collectibles Palatial Vines 8-Pc. FullQuee Tealseafoam FullQueen</t>
  </si>
  <si>
    <t>Southshore Fine Linens Southshore Fine Linens Harmony Beige Twin</t>
  </si>
  <si>
    <t>J Queen New York Luxembourg Quilted Sham, King Silver-Tone King Sham</t>
  </si>
  <si>
    <t>AQ Textiles Sullivan 1400 thread count 4 p Black King</t>
  </si>
  <si>
    <t>Sunham Jackson 8-Pc. Queen Comforter Black Queen</t>
  </si>
  <si>
    <t>Nautica Comfort Knit StandardQueen Pi White Standard</t>
  </si>
  <si>
    <t>Sun Zero Evelina Faux Dupioni Silk Bead Gold 50x17</t>
  </si>
  <si>
    <t>Decor Studio Merry and Bright Ornament Holi Multi ONE SIZE</t>
  </si>
  <si>
    <t>Birch Trail 3pc Decorative Throw and Pillo Red Tartan Plaid 60x50</t>
  </si>
  <si>
    <t>Addison Park Remy 14-Pc. Queen Comforter Se White Queen</t>
  </si>
  <si>
    <t>Anne Klein Reverie Towel Set, Pack of 6 White Towel Set</t>
  </si>
  <si>
    <t>Hotel Collection Cotton 680 Thread Count King F Caviar Black King</t>
  </si>
  <si>
    <t>Sun Zero Sun Zero Channing Grid Texture Coal 50 x 63</t>
  </si>
  <si>
    <t>Mainstream International Inc. Mainstream Salem 16 x 26 Han Charcoal Hand Towels</t>
  </si>
  <si>
    <t>Bath Bliss Bath Bliss 3 Tier Storage Shel Bronze No Size</t>
  </si>
  <si>
    <t>Serta Serta Down Illusion Medium Den White King</t>
  </si>
  <si>
    <t>Lush Decor Lush Decor Round Pleated Soft Dark Gray 15</t>
  </si>
  <si>
    <t>Oake Drybrush Matelasse 3-Pc. King Neutral King</t>
  </si>
  <si>
    <t>Night Spa Revitalizing Sleep System For Copper And Cream Queen</t>
  </si>
  <si>
    <t>VCNY Home High Pile Plush Throw Blue 50x60</t>
  </si>
  <si>
    <t>No. 918 No. 918 Calypso Voile Sheer Gr Royal Blue 59x63</t>
  </si>
  <si>
    <t>Martha Stewart Collection Lattice Faux Fur 50 X 60 Thr Grey Throw</t>
  </si>
  <si>
    <t>Addison Park Randall 9-Pc. Queen Comforter Taupe Queen</t>
  </si>
  <si>
    <t>AQ Textiles Sullivan 1400 thread count 4 p White Queen</t>
  </si>
  <si>
    <t>Levtex Levtex Mills Waffle Quilt Set, Blush FullQueen</t>
  </si>
  <si>
    <t>Mastertex Mastertex Bed Pillow - Standar White Standard</t>
  </si>
  <si>
    <t>Eddie Bauer Eddie Bauer Logan Tufted Cotto Jadeite 2 piece set</t>
  </si>
  <si>
    <t>AQ Textiles Sullivan 1400 thread count 4 p Silver King</t>
  </si>
  <si>
    <t>Morgan Home Sherpa Set of 2 18 x 18 Deco Green Decorative Pillow</t>
  </si>
  <si>
    <t>Pem America Gwyn 8-Pc. King Comforter Set, Multi King</t>
  </si>
  <si>
    <t>Martha Stewart Collection Eloise Floral King Sham, Creat Charcoal King</t>
  </si>
  <si>
    <t>JLA Home Store Only UPC - DNU Ivory 50x60</t>
  </si>
  <si>
    <t>ED Ellen Degeneres ED Ellen Degeneres Textured Ge White King</t>
  </si>
  <si>
    <t>Clean Design Home Anti-Allergen Pillow, Standard White Standard</t>
  </si>
  <si>
    <t>Hotel Collection Ornate Scroll Quilted King Sha Ruby King Sham</t>
  </si>
  <si>
    <t>Sanders Kids Holiday Microfiber 3 pc T Reindeer Twin</t>
  </si>
  <si>
    <t>Fireside Solid Sherpa Throw Ivory 50x60</t>
  </si>
  <si>
    <t>MYTHOLOGY 60X70 WOVEN ET</t>
  </si>
  <si>
    <t>Lacourte Masie Blue Decorative Pillow Blue 20x20</t>
  </si>
  <si>
    <t>Hotel Collection Highlands FullQueen Coverlet, Taupe FullQueen Coverlet</t>
  </si>
  <si>
    <t>AQ Textiles Sullivan 1400 thread count 4 p Blue Queen</t>
  </si>
  <si>
    <t>Lacoste Heritage Stripe 30 x 52 Bath Lt Pink Bath Towels</t>
  </si>
  <si>
    <t>Swift Home Lush Moselle Cotton Ruched Waf Blue FullQueen</t>
  </si>
  <si>
    <t>Hallmart Collectibles Tanner Reversible 3-Pc. FullQ Navygray FullQueen</t>
  </si>
  <si>
    <t>Dr. Oz Good Life Good Life Pura Dream Sleep B Whiteheather Gray Standard</t>
  </si>
  <si>
    <t>Natori Marta Rainbow Glow in the Dark Multi Full</t>
  </si>
  <si>
    <t>KIDS&amp;YTH BEDD</t>
  </si>
  <si>
    <t>Sharper Image SHARPER IMAGE Cool Comfort 750 White Queen</t>
  </si>
  <si>
    <t>Oake Colorblock 3-Pc. King Comforte Warm Combo King</t>
  </si>
  <si>
    <t>Hallmart Collectibles Paris Celeste 14-Pc Queen Comf Champagneivory Queen</t>
  </si>
  <si>
    <t>Martha Stewart Collection Printed Tile 100 Cotton Full Blue FullQueen</t>
  </si>
  <si>
    <t>Christy Living Arbor Cotton Coverlet Set, Ful Gray FullQueen</t>
  </si>
  <si>
    <t>Sunham Holiday Sentiments 8-Pc. King Red King</t>
  </si>
  <si>
    <t>Snoopy Peanuts Holiday 2-Pc. TwinFul Multi Twin</t>
  </si>
  <si>
    <t>Hotel Collection Highlands King Coverlet, Creat Taupe King Coverlet</t>
  </si>
  <si>
    <t>Oake Geometric Embroidered FullQue Navy FullQueen</t>
  </si>
  <si>
    <t>Oake Textured Gauze European Sham, White European Sham</t>
  </si>
  <si>
    <t>BIRDSEYE VIEW COMF QN BASIC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</si>
</sst>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1" fontId="3" fillId="0" borderId="0" xfId="0" applyNumberFormat="1" applyFont="1" applyAlignment="1">
      <alignment horizontal="center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1" fontId="3" fillId="0" borderId="0" xfId="0" applyNumberFormat="1" applyFont="1" applyAlignment="1">
      <alignment horizontal="left" wrapText="1"/>
    </xf>
    <xf numFmtId="164" fontId="3" fillId="0" borderId="0" xfId="0" applyNumberFormat="1" applyFont="1" applyAlignment="1">
      <alignment horizontal="left" wrapText="1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0" xfId="0" applyAlignment="1"/>
    <xf numFmtId="0" fontId="3" fillId="0" borderId="0" xfId="0" applyFont="1" applyAlignment="1">
      <alignment horizontal="center" wrapText="1"/>
    </xf>
    <xf numFmtId="1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horizont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0"/>
  <sheetViews>
    <sheetView tabSelected="1" workbookViewId="0">
      <selection activeCell="L10" sqref="L10"/>
    </sheetView>
  </sheetViews>
  <sheetFormatPr defaultRowHeight="15" x14ac:dyDescent="0.25"/>
  <cols>
    <col min="3" max="3" width="10.7109375" bestFit="1" customWidth="1"/>
    <col min="5" max="5" width="12.85546875" customWidth="1"/>
  </cols>
  <sheetData>
    <row r="3" spans="2:5" x14ac:dyDescent="0.25">
      <c r="B3" s="11" t="s">
        <v>916</v>
      </c>
      <c r="C3" s="12" t="s">
        <v>851</v>
      </c>
      <c r="D3" s="1" t="s">
        <v>655</v>
      </c>
      <c r="E3" s="2" t="s">
        <v>656</v>
      </c>
    </row>
    <row r="4" spans="2:5" x14ac:dyDescent="0.25">
      <c r="B4" s="11">
        <v>13815672</v>
      </c>
      <c r="C4" s="11">
        <v>10</v>
      </c>
      <c r="D4" s="3">
        <v>552</v>
      </c>
      <c r="E4" s="4">
        <v>38132.769999999997</v>
      </c>
    </row>
    <row r="5" spans="2:5" x14ac:dyDescent="0.25">
      <c r="B5" s="11">
        <v>13814657</v>
      </c>
      <c r="C5" s="11">
        <v>10</v>
      </c>
      <c r="D5" s="3">
        <v>433</v>
      </c>
      <c r="E5" s="4">
        <v>37946.410000000003</v>
      </c>
    </row>
    <row r="6" spans="2:5" x14ac:dyDescent="0.25">
      <c r="B6" s="11">
        <v>13810619</v>
      </c>
      <c r="C6" s="11">
        <v>10</v>
      </c>
      <c r="D6" s="3">
        <v>400</v>
      </c>
      <c r="E6" s="4">
        <v>30309.8</v>
      </c>
    </row>
    <row r="7" spans="2:5" x14ac:dyDescent="0.25">
      <c r="B7" s="11"/>
      <c r="C7" s="11"/>
      <c r="D7" s="3"/>
      <c r="E7" s="4"/>
    </row>
    <row r="8" spans="2:5" x14ac:dyDescent="0.25">
      <c r="B8" s="11"/>
      <c r="C8" s="11"/>
      <c r="D8" s="3"/>
      <c r="E8" s="4"/>
    </row>
    <row r="9" spans="2:5" x14ac:dyDescent="0.25">
      <c r="B9" s="11"/>
      <c r="C9" s="11"/>
      <c r="D9" s="3"/>
      <c r="E9" s="4"/>
    </row>
    <row r="10" spans="2:5" x14ac:dyDescent="0.25">
      <c r="B10" s="11"/>
      <c r="C10" s="12">
        <f>SUM(C4:C9)</f>
        <v>30</v>
      </c>
      <c r="D10" s="1">
        <f>SUM(D4:D9)</f>
        <v>1385</v>
      </c>
      <c r="E10" s="2">
        <f>SUM(E4:E9)</f>
        <v>106388.98</v>
      </c>
    </row>
  </sheetData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1"/>
  <sheetViews>
    <sheetView topLeftCell="B1" workbookViewId="0">
      <selection activeCell="H8" sqref="H8"/>
    </sheetView>
  </sheetViews>
  <sheetFormatPr defaultRowHeight="20.100000000000001" customHeight="1" x14ac:dyDescent="0.25"/>
  <cols>
    <col min="1" max="1" width="26" style="18" customWidth="1"/>
    <col min="2" max="2" width="10.5703125" style="18" customWidth="1"/>
    <col min="3" max="3" width="16.28515625" style="16" customWidth="1"/>
    <col min="4" max="4" width="58.28515625" style="18" customWidth="1"/>
    <col min="5" max="5" width="14.7109375" style="18" customWidth="1"/>
    <col min="6" max="6" width="15" style="18" bestFit="1" customWidth="1"/>
    <col min="7" max="7" width="21" style="16" bestFit="1" customWidth="1"/>
    <col min="8" max="8" width="13.28515625" style="18" bestFit="1" customWidth="1"/>
    <col min="9" max="9" width="17.5703125" style="18" bestFit="1" customWidth="1"/>
    <col min="10" max="10" width="39.28515625" style="18" bestFit="1" customWidth="1"/>
    <col min="11" max="11" width="48.140625" style="18" bestFit="1" customWidth="1"/>
    <col min="12" max="12" width="64.28515625" style="18" customWidth="1"/>
    <col min="13" max="16384" width="9.140625" style="18"/>
  </cols>
  <sheetData>
    <row r="1" spans="1:12" ht="20.100000000000001" customHeight="1" x14ac:dyDescent="0.25">
      <c r="A1" s="22" t="s">
        <v>960</v>
      </c>
      <c r="B1" s="22" t="s">
        <v>961</v>
      </c>
      <c r="C1" s="23" t="s">
        <v>657</v>
      </c>
      <c r="D1" s="22" t="s">
        <v>658</v>
      </c>
      <c r="E1" s="22" t="s">
        <v>659</v>
      </c>
      <c r="F1" s="22" t="s">
        <v>962</v>
      </c>
      <c r="G1" s="23" t="s">
        <v>660</v>
      </c>
      <c r="H1" s="22" t="s">
        <v>661</v>
      </c>
      <c r="I1" s="22" t="s">
        <v>662</v>
      </c>
      <c r="J1" s="22" t="s">
        <v>663</v>
      </c>
      <c r="K1" s="22" t="s">
        <v>664</v>
      </c>
      <c r="L1" s="17"/>
    </row>
    <row r="2" spans="1:12" ht="20.100000000000001" customHeight="1" x14ac:dyDescent="0.25">
      <c r="A2" s="7" t="s">
        <v>963</v>
      </c>
      <c r="B2" s="20">
        <v>13815672</v>
      </c>
      <c r="C2" s="8">
        <v>21864387649</v>
      </c>
      <c r="D2" s="6" t="s">
        <v>964</v>
      </c>
      <c r="E2" s="7">
        <v>1</v>
      </c>
      <c r="F2" s="9">
        <v>29.99</v>
      </c>
      <c r="G2" s="21">
        <v>29.99</v>
      </c>
      <c r="H2" s="7" t="s">
        <v>863</v>
      </c>
      <c r="I2" s="7" t="s">
        <v>682</v>
      </c>
      <c r="J2" s="7" t="s">
        <v>889</v>
      </c>
      <c r="K2" s="7" t="str">
        <f>HYPERLINK("http://slimages.macys.com/is/image/MCY/15009814 ")</f>
        <v xml:space="preserve">http://slimages.macys.com/is/image/MCY/15009814 </v>
      </c>
      <c r="L2" s="10"/>
    </row>
    <row r="3" spans="1:12" ht="20.100000000000001" customHeight="1" x14ac:dyDescent="0.25">
      <c r="A3" s="7" t="s">
        <v>963</v>
      </c>
      <c r="B3" s="20">
        <v>13815672</v>
      </c>
      <c r="C3" s="8">
        <v>25695992898</v>
      </c>
      <c r="D3" s="6" t="s">
        <v>965</v>
      </c>
      <c r="E3" s="7">
        <v>1</v>
      </c>
      <c r="F3" s="9">
        <v>15.99</v>
      </c>
      <c r="G3" s="21">
        <v>15.99</v>
      </c>
      <c r="H3" s="7" t="s">
        <v>668</v>
      </c>
      <c r="I3" s="7" t="s">
        <v>669</v>
      </c>
      <c r="J3" s="7" t="s">
        <v>135</v>
      </c>
      <c r="K3" s="7" t="str">
        <f>HYPERLINK("http://slimages.macys.com/is/image/MCY/16541158 ")</f>
        <v xml:space="preserve">http://slimages.macys.com/is/image/MCY/16541158 </v>
      </c>
      <c r="L3" s="10"/>
    </row>
    <row r="4" spans="1:12" ht="20.100000000000001" customHeight="1" x14ac:dyDescent="0.25">
      <c r="A4" s="7" t="s">
        <v>963</v>
      </c>
      <c r="B4" s="20">
        <v>13815672</v>
      </c>
      <c r="C4" s="8">
        <v>25695992942</v>
      </c>
      <c r="D4" s="6" t="s">
        <v>966</v>
      </c>
      <c r="E4" s="7">
        <v>2</v>
      </c>
      <c r="F4" s="9">
        <v>22.99</v>
      </c>
      <c r="G4" s="21">
        <v>45.98</v>
      </c>
      <c r="H4" s="7" t="s">
        <v>668</v>
      </c>
      <c r="I4" s="7" t="s">
        <v>669</v>
      </c>
      <c r="J4" s="7" t="s">
        <v>135</v>
      </c>
      <c r="K4" s="7" t="str">
        <f>HYPERLINK("http://slimages.macys.com/is/image/MCY/16541154 ")</f>
        <v xml:space="preserve">http://slimages.macys.com/is/image/MCY/16541154 </v>
      </c>
      <c r="L4" s="10"/>
    </row>
    <row r="5" spans="1:12" ht="20.100000000000001" customHeight="1" x14ac:dyDescent="0.25">
      <c r="A5" s="7" t="s">
        <v>963</v>
      </c>
      <c r="B5" s="20">
        <v>13815672</v>
      </c>
      <c r="C5" s="8">
        <v>26865854121</v>
      </c>
      <c r="D5" s="6" t="s">
        <v>967</v>
      </c>
      <c r="E5" s="7">
        <v>1</v>
      </c>
      <c r="F5" s="9">
        <v>39.99</v>
      </c>
      <c r="G5" s="21">
        <v>39.99</v>
      </c>
      <c r="H5" s="7" t="s">
        <v>754</v>
      </c>
      <c r="I5" s="7" t="s">
        <v>674</v>
      </c>
      <c r="J5" s="7" t="s">
        <v>699</v>
      </c>
      <c r="K5" s="7" t="str">
        <f>HYPERLINK("http://slimages.macys.com/is/image/MCY/9168709 ")</f>
        <v xml:space="preserve">http://slimages.macys.com/is/image/MCY/9168709 </v>
      </c>
      <c r="L5" s="10"/>
    </row>
    <row r="6" spans="1:12" ht="20.100000000000001" customHeight="1" x14ac:dyDescent="0.25">
      <c r="A6" s="7" t="s">
        <v>963</v>
      </c>
      <c r="B6" s="20">
        <v>13815672</v>
      </c>
      <c r="C6" s="8">
        <v>26865968118</v>
      </c>
      <c r="D6" s="6" t="s">
        <v>968</v>
      </c>
      <c r="E6" s="7">
        <v>1</v>
      </c>
      <c r="F6" s="9">
        <v>45.99</v>
      </c>
      <c r="G6" s="21">
        <v>45.99</v>
      </c>
      <c r="H6" s="7" t="s">
        <v>754</v>
      </c>
      <c r="I6" s="7" t="s">
        <v>674</v>
      </c>
      <c r="J6" s="7" t="s">
        <v>699</v>
      </c>
      <c r="K6" s="7" t="str">
        <f>HYPERLINK("http://slimages.macys.com/is/image/MCY/12264831 ")</f>
        <v xml:space="preserve">http://slimages.macys.com/is/image/MCY/12264831 </v>
      </c>
      <c r="L6" s="10"/>
    </row>
    <row r="7" spans="1:12" ht="20.100000000000001" customHeight="1" x14ac:dyDescent="0.25">
      <c r="A7" s="7" t="s">
        <v>963</v>
      </c>
      <c r="B7" s="20">
        <v>13815672</v>
      </c>
      <c r="C7" s="8">
        <v>29927257380</v>
      </c>
      <c r="D7" s="6" t="s">
        <v>969</v>
      </c>
      <c r="E7" s="7">
        <v>1</v>
      </c>
      <c r="F7" s="9">
        <v>8.99</v>
      </c>
      <c r="G7" s="21">
        <v>8.99</v>
      </c>
      <c r="H7" s="7" t="s">
        <v>676</v>
      </c>
      <c r="I7" s="7" t="s">
        <v>674</v>
      </c>
      <c r="J7" s="7" t="s">
        <v>702</v>
      </c>
      <c r="K7" s="7" t="str">
        <f>HYPERLINK("http://slimages.macys.com/is/image/MCY/16270371 ")</f>
        <v xml:space="preserve">http://slimages.macys.com/is/image/MCY/16270371 </v>
      </c>
      <c r="L7" s="10"/>
    </row>
    <row r="8" spans="1:12" ht="20.100000000000001" customHeight="1" x14ac:dyDescent="0.25">
      <c r="A8" s="7" t="s">
        <v>963</v>
      </c>
      <c r="B8" s="20">
        <v>13815672</v>
      </c>
      <c r="C8" s="8">
        <v>29927258394</v>
      </c>
      <c r="D8" s="6" t="s">
        <v>970</v>
      </c>
      <c r="E8" s="7">
        <v>2</v>
      </c>
      <c r="F8" s="9">
        <v>9.99</v>
      </c>
      <c r="G8" s="21">
        <v>19.98</v>
      </c>
      <c r="H8" s="7" t="s">
        <v>770</v>
      </c>
      <c r="I8" s="7" t="s">
        <v>674</v>
      </c>
      <c r="J8" s="7" t="s">
        <v>702</v>
      </c>
      <c r="K8" s="7" t="str">
        <f>HYPERLINK("http://slimages.macys.com/is/image/MCY/9197086 ")</f>
        <v xml:space="preserve">http://slimages.macys.com/is/image/MCY/9197086 </v>
      </c>
      <c r="L8" s="10"/>
    </row>
    <row r="9" spans="1:12" ht="20.100000000000001" customHeight="1" x14ac:dyDescent="0.25">
      <c r="A9" s="7" t="s">
        <v>963</v>
      </c>
      <c r="B9" s="20">
        <v>13815672</v>
      </c>
      <c r="C9" s="8">
        <v>29927259032</v>
      </c>
      <c r="D9" s="6" t="s">
        <v>971</v>
      </c>
      <c r="E9" s="7">
        <v>1</v>
      </c>
      <c r="F9" s="9">
        <v>12.99</v>
      </c>
      <c r="G9" s="21">
        <v>12.99</v>
      </c>
      <c r="H9" s="7" t="s">
        <v>707</v>
      </c>
      <c r="I9" s="7" t="s">
        <v>674</v>
      </c>
      <c r="J9" s="7" t="s">
        <v>702</v>
      </c>
      <c r="K9" s="7" t="str">
        <f>HYPERLINK("http://slimages.macys.com/is/image/MCY/16270504 ")</f>
        <v xml:space="preserve">http://slimages.macys.com/is/image/MCY/16270504 </v>
      </c>
      <c r="L9" s="10"/>
    </row>
    <row r="10" spans="1:12" ht="20.100000000000001" customHeight="1" x14ac:dyDescent="0.25">
      <c r="A10" s="7" t="s">
        <v>963</v>
      </c>
      <c r="B10" s="20">
        <v>13815672</v>
      </c>
      <c r="C10" s="8">
        <v>29927259087</v>
      </c>
      <c r="D10" s="6" t="s">
        <v>972</v>
      </c>
      <c r="E10" s="7">
        <v>2</v>
      </c>
      <c r="F10" s="9">
        <v>13.99</v>
      </c>
      <c r="G10" s="21">
        <v>27.98</v>
      </c>
      <c r="H10" s="7" t="s">
        <v>762</v>
      </c>
      <c r="I10" s="7" t="s">
        <v>674</v>
      </c>
      <c r="J10" s="7" t="s">
        <v>702</v>
      </c>
      <c r="K10" s="7" t="str">
        <f>HYPERLINK("http://slimages.macys.com/is/image/MCY/16270504 ")</f>
        <v xml:space="preserve">http://slimages.macys.com/is/image/MCY/16270504 </v>
      </c>
      <c r="L10" s="10"/>
    </row>
    <row r="11" spans="1:12" ht="20.100000000000001" customHeight="1" x14ac:dyDescent="0.25">
      <c r="A11" s="7" t="s">
        <v>963</v>
      </c>
      <c r="B11" s="20">
        <v>13815672</v>
      </c>
      <c r="C11" s="8">
        <v>29927280418</v>
      </c>
      <c r="D11" s="6" t="s">
        <v>973</v>
      </c>
      <c r="E11" s="7">
        <v>1</v>
      </c>
      <c r="F11" s="9">
        <v>9.99</v>
      </c>
      <c r="G11" s="21">
        <v>9.99</v>
      </c>
      <c r="H11" s="7" t="s">
        <v>711</v>
      </c>
      <c r="I11" s="7" t="s">
        <v>674</v>
      </c>
      <c r="J11" s="7" t="s">
        <v>702</v>
      </c>
      <c r="K11" s="7" t="str">
        <f>HYPERLINK("http://slimages.macys.com/is/image/MCY/9197086 ")</f>
        <v xml:space="preserve">http://slimages.macys.com/is/image/MCY/9197086 </v>
      </c>
      <c r="L11" s="10"/>
    </row>
    <row r="12" spans="1:12" ht="20.100000000000001" customHeight="1" x14ac:dyDescent="0.25">
      <c r="A12" s="7" t="s">
        <v>963</v>
      </c>
      <c r="B12" s="20">
        <v>13815672</v>
      </c>
      <c r="C12" s="8">
        <v>29927345476</v>
      </c>
      <c r="D12" s="6" t="s">
        <v>974</v>
      </c>
      <c r="E12" s="7">
        <v>2</v>
      </c>
      <c r="F12" s="9">
        <v>14.99</v>
      </c>
      <c r="G12" s="21">
        <v>29.98</v>
      </c>
      <c r="H12" s="7" t="s">
        <v>704</v>
      </c>
      <c r="I12" s="7" t="s">
        <v>674</v>
      </c>
      <c r="J12" s="7" t="s">
        <v>702</v>
      </c>
      <c r="K12" s="7" t="str">
        <f>HYPERLINK("http://slimages.macys.com/is/image/MCY/16270479 ")</f>
        <v xml:space="preserve">http://slimages.macys.com/is/image/MCY/16270479 </v>
      </c>
      <c r="L12" s="10"/>
    </row>
    <row r="13" spans="1:12" ht="20.100000000000001" customHeight="1" x14ac:dyDescent="0.25">
      <c r="A13" s="7" t="s">
        <v>963</v>
      </c>
      <c r="B13" s="20">
        <v>13815672</v>
      </c>
      <c r="C13" s="8">
        <v>29927387650</v>
      </c>
      <c r="D13" s="6" t="s">
        <v>975</v>
      </c>
      <c r="E13" s="7">
        <v>1</v>
      </c>
      <c r="F13" s="9">
        <v>11.99</v>
      </c>
      <c r="G13" s="21">
        <v>11.99</v>
      </c>
      <c r="H13" s="7" t="s">
        <v>676</v>
      </c>
      <c r="I13" s="7" t="s">
        <v>674</v>
      </c>
      <c r="J13" s="7" t="s">
        <v>702</v>
      </c>
      <c r="K13" s="7" t="str">
        <f>HYPERLINK("http://slimages.macys.com/is/image/MCY/10007985 ")</f>
        <v xml:space="preserve">http://slimages.macys.com/is/image/MCY/10007985 </v>
      </c>
      <c r="L13" s="10"/>
    </row>
    <row r="14" spans="1:12" ht="20.100000000000001" customHeight="1" x14ac:dyDescent="0.25">
      <c r="A14" s="7" t="s">
        <v>963</v>
      </c>
      <c r="B14" s="20">
        <v>13815672</v>
      </c>
      <c r="C14" s="8">
        <v>29927460735</v>
      </c>
      <c r="D14" s="6" t="s">
        <v>976</v>
      </c>
      <c r="E14" s="7">
        <v>3</v>
      </c>
      <c r="F14" s="9">
        <v>8.99</v>
      </c>
      <c r="G14" s="21">
        <v>26.97</v>
      </c>
      <c r="H14" s="7" t="s">
        <v>771</v>
      </c>
      <c r="I14" s="7" t="s">
        <v>674</v>
      </c>
      <c r="J14" s="7" t="s">
        <v>702</v>
      </c>
      <c r="K14" s="7" t="str">
        <f>HYPERLINK("http://slimages.macys.com/is/image/MCY/16270470 ")</f>
        <v xml:space="preserve">http://slimages.macys.com/is/image/MCY/16270470 </v>
      </c>
      <c r="L14" s="10"/>
    </row>
    <row r="15" spans="1:12" ht="20.100000000000001" customHeight="1" x14ac:dyDescent="0.25">
      <c r="A15" s="7" t="s">
        <v>963</v>
      </c>
      <c r="B15" s="20">
        <v>13815672</v>
      </c>
      <c r="C15" s="8">
        <v>29927467376</v>
      </c>
      <c r="D15" s="6" t="s">
        <v>977</v>
      </c>
      <c r="E15" s="7">
        <v>2</v>
      </c>
      <c r="F15" s="9">
        <v>39.99</v>
      </c>
      <c r="G15" s="21">
        <v>79.98</v>
      </c>
      <c r="H15" s="7" t="s">
        <v>775</v>
      </c>
      <c r="I15" s="7" t="s">
        <v>674</v>
      </c>
      <c r="J15" s="7" t="s">
        <v>702</v>
      </c>
      <c r="K15" s="7" t="str">
        <f>HYPERLINK("http://slimages.macys.com/is/image/MCY/8741332 ")</f>
        <v xml:space="preserve">http://slimages.macys.com/is/image/MCY/8741332 </v>
      </c>
      <c r="L15" s="10"/>
    </row>
    <row r="16" spans="1:12" ht="20.100000000000001" customHeight="1" x14ac:dyDescent="0.25">
      <c r="A16" s="7" t="s">
        <v>963</v>
      </c>
      <c r="B16" s="20">
        <v>13815672</v>
      </c>
      <c r="C16" s="8">
        <v>29927469516</v>
      </c>
      <c r="D16" s="6" t="s">
        <v>978</v>
      </c>
      <c r="E16" s="7">
        <v>2</v>
      </c>
      <c r="F16" s="9">
        <v>11.99</v>
      </c>
      <c r="G16" s="21">
        <v>23.98</v>
      </c>
      <c r="H16" s="7" t="s">
        <v>807</v>
      </c>
      <c r="I16" s="7" t="s">
        <v>674</v>
      </c>
      <c r="J16" s="7" t="s">
        <v>702</v>
      </c>
      <c r="K16" s="7" t="str">
        <f>HYPERLINK("http://slimages.macys.com/is/image/MCY/9616441 ")</f>
        <v xml:space="preserve">http://slimages.macys.com/is/image/MCY/9616441 </v>
      </c>
      <c r="L16" s="10"/>
    </row>
    <row r="17" spans="1:12" ht="20.100000000000001" customHeight="1" x14ac:dyDescent="0.25">
      <c r="A17" s="7" t="s">
        <v>963</v>
      </c>
      <c r="B17" s="20">
        <v>13815672</v>
      </c>
      <c r="C17" s="8">
        <v>29927480696</v>
      </c>
      <c r="D17" s="6" t="s">
        <v>979</v>
      </c>
      <c r="E17" s="7">
        <v>1</v>
      </c>
      <c r="F17" s="9">
        <v>19.989999999999998</v>
      </c>
      <c r="G17" s="21">
        <v>19.989999999999998</v>
      </c>
      <c r="H17" s="7" t="s">
        <v>711</v>
      </c>
      <c r="I17" s="7" t="s">
        <v>674</v>
      </c>
      <c r="J17" s="7" t="s">
        <v>702</v>
      </c>
      <c r="K17" s="7" t="str">
        <f>HYPERLINK("http://slimages.macys.com/is/image/MCY/8759583 ")</f>
        <v xml:space="preserve">http://slimages.macys.com/is/image/MCY/8759583 </v>
      </c>
      <c r="L17" s="10"/>
    </row>
    <row r="18" spans="1:12" ht="20.100000000000001" customHeight="1" x14ac:dyDescent="0.25">
      <c r="A18" s="7" t="s">
        <v>963</v>
      </c>
      <c r="B18" s="20">
        <v>13815672</v>
      </c>
      <c r="C18" s="8">
        <v>29927486780</v>
      </c>
      <c r="D18" s="6" t="s">
        <v>980</v>
      </c>
      <c r="E18" s="7">
        <v>1</v>
      </c>
      <c r="F18" s="9">
        <v>15.99</v>
      </c>
      <c r="G18" s="21">
        <v>15.99</v>
      </c>
      <c r="H18" s="7" t="s">
        <v>671</v>
      </c>
      <c r="I18" s="7" t="s">
        <v>674</v>
      </c>
      <c r="J18" s="7" t="s">
        <v>702</v>
      </c>
      <c r="K18" s="7" t="str">
        <f>HYPERLINK("http://slimages.macys.com/is/image/MCY/10006589 ")</f>
        <v xml:space="preserve">http://slimages.macys.com/is/image/MCY/10006589 </v>
      </c>
      <c r="L18" s="10"/>
    </row>
    <row r="19" spans="1:12" ht="20.100000000000001" customHeight="1" x14ac:dyDescent="0.25">
      <c r="A19" s="7" t="s">
        <v>963</v>
      </c>
      <c r="B19" s="20">
        <v>13815672</v>
      </c>
      <c r="C19" s="8">
        <v>29927487688</v>
      </c>
      <c r="D19" s="6" t="s">
        <v>981</v>
      </c>
      <c r="E19" s="7">
        <v>2</v>
      </c>
      <c r="F19" s="9">
        <v>23.99</v>
      </c>
      <c r="G19" s="21">
        <v>47.98</v>
      </c>
      <c r="H19" s="7" t="s">
        <v>823</v>
      </c>
      <c r="I19" s="7" t="s">
        <v>674</v>
      </c>
      <c r="J19" s="7" t="s">
        <v>702</v>
      </c>
      <c r="K19" s="7" t="str">
        <f>HYPERLINK("http://slimages.macys.com/is/image/MCY/8498656 ")</f>
        <v xml:space="preserve">http://slimages.macys.com/is/image/MCY/8498656 </v>
      </c>
      <c r="L19" s="10"/>
    </row>
    <row r="20" spans="1:12" ht="20.100000000000001" customHeight="1" x14ac:dyDescent="0.25">
      <c r="A20" s="7" t="s">
        <v>963</v>
      </c>
      <c r="B20" s="20">
        <v>13815672</v>
      </c>
      <c r="C20" s="8">
        <v>29927487732</v>
      </c>
      <c r="D20" s="6" t="s">
        <v>982</v>
      </c>
      <c r="E20" s="7">
        <v>2</v>
      </c>
      <c r="F20" s="9">
        <v>23.99</v>
      </c>
      <c r="G20" s="21">
        <v>47.98</v>
      </c>
      <c r="H20" s="7" t="s">
        <v>701</v>
      </c>
      <c r="I20" s="7" t="s">
        <v>674</v>
      </c>
      <c r="J20" s="7" t="s">
        <v>702</v>
      </c>
      <c r="K20" s="7" t="str">
        <f>HYPERLINK("http://slimages.macys.com/is/image/MCY/8498656 ")</f>
        <v xml:space="preserve">http://slimages.macys.com/is/image/MCY/8498656 </v>
      </c>
      <c r="L20" s="10"/>
    </row>
    <row r="21" spans="1:12" ht="20.100000000000001" customHeight="1" x14ac:dyDescent="0.25">
      <c r="A21" s="7" t="s">
        <v>963</v>
      </c>
      <c r="B21" s="20">
        <v>13815672</v>
      </c>
      <c r="C21" s="8">
        <v>29927505269</v>
      </c>
      <c r="D21" s="6" t="s">
        <v>983</v>
      </c>
      <c r="E21" s="7">
        <v>1</v>
      </c>
      <c r="F21" s="9">
        <v>28.99</v>
      </c>
      <c r="G21" s="21">
        <v>28.99</v>
      </c>
      <c r="H21" s="7" t="s">
        <v>676</v>
      </c>
      <c r="I21" s="7" t="s">
        <v>674</v>
      </c>
      <c r="J21" s="7" t="s">
        <v>702</v>
      </c>
      <c r="K21" s="7" t="str">
        <f>HYPERLINK("http://slimages.macys.com/is/image/MCY/14663445 ")</f>
        <v xml:space="preserve">http://slimages.macys.com/is/image/MCY/14663445 </v>
      </c>
      <c r="L21" s="10"/>
    </row>
    <row r="22" spans="1:12" ht="20.100000000000001" customHeight="1" x14ac:dyDescent="0.25">
      <c r="A22" s="7" t="s">
        <v>963</v>
      </c>
      <c r="B22" s="20">
        <v>13815672</v>
      </c>
      <c r="C22" s="8">
        <v>29927507072</v>
      </c>
      <c r="D22" s="6" t="s">
        <v>984</v>
      </c>
      <c r="E22" s="7">
        <v>1</v>
      </c>
      <c r="F22" s="9">
        <v>19.989999999999998</v>
      </c>
      <c r="G22" s="21">
        <v>19.989999999999998</v>
      </c>
      <c r="H22" s="7" t="s">
        <v>676</v>
      </c>
      <c r="I22" s="7" t="s">
        <v>674</v>
      </c>
      <c r="J22" s="7" t="s">
        <v>702</v>
      </c>
      <c r="K22" s="7" t="str">
        <f>HYPERLINK("http://slimages.macys.com/is/image/MCY/9972657 ")</f>
        <v xml:space="preserve">http://slimages.macys.com/is/image/MCY/9972657 </v>
      </c>
      <c r="L22" s="10"/>
    </row>
    <row r="23" spans="1:12" ht="20.100000000000001" customHeight="1" x14ac:dyDescent="0.25">
      <c r="A23" s="7" t="s">
        <v>963</v>
      </c>
      <c r="B23" s="20">
        <v>13815672</v>
      </c>
      <c r="C23" s="8">
        <v>29927509687</v>
      </c>
      <c r="D23" s="6" t="s">
        <v>985</v>
      </c>
      <c r="E23" s="7">
        <v>2</v>
      </c>
      <c r="F23" s="9">
        <v>17.989999999999998</v>
      </c>
      <c r="G23" s="21">
        <v>35.979999999999997</v>
      </c>
      <c r="H23" s="7" t="s">
        <v>671</v>
      </c>
      <c r="I23" s="7" t="s">
        <v>674</v>
      </c>
      <c r="J23" s="7" t="s">
        <v>702</v>
      </c>
      <c r="K23" s="7" t="str">
        <f>HYPERLINK("http://slimages.macys.com/is/image/MCY/12936375 ")</f>
        <v xml:space="preserve">http://slimages.macys.com/is/image/MCY/12936375 </v>
      </c>
      <c r="L23" s="10"/>
    </row>
    <row r="24" spans="1:12" ht="20.100000000000001" customHeight="1" x14ac:dyDescent="0.25">
      <c r="A24" s="7" t="s">
        <v>963</v>
      </c>
      <c r="B24" s="20">
        <v>13815672</v>
      </c>
      <c r="C24" s="8">
        <v>29927512663</v>
      </c>
      <c r="D24" s="6" t="s">
        <v>986</v>
      </c>
      <c r="E24" s="7">
        <v>1</v>
      </c>
      <c r="F24" s="9">
        <v>11.99</v>
      </c>
      <c r="G24" s="21">
        <v>11.99</v>
      </c>
      <c r="H24" s="7" t="s">
        <v>721</v>
      </c>
      <c r="I24" s="7" t="s">
        <v>674</v>
      </c>
      <c r="J24" s="7" t="s">
        <v>702</v>
      </c>
      <c r="K24" s="7" t="str">
        <f>HYPERLINK("http://slimages.macys.com/is/image/MCY/8745259 ")</f>
        <v xml:space="preserve">http://slimages.macys.com/is/image/MCY/8745259 </v>
      </c>
      <c r="L24" s="10"/>
    </row>
    <row r="25" spans="1:12" ht="20.100000000000001" customHeight="1" x14ac:dyDescent="0.25">
      <c r="A25" s="7" t="s">
        <v>963</v>
      </c>
      <c r="B25" s="20">
        <v>13815672</v>
      </c>
      <c r="C25" s="8">
        <v>29927517507</v>
      </c>
      <c r="D25" s="6" t="s">
        <v>987</v>
      </c>
      <c r="E25" s="7">
        <v>2</v>
      </c>
      <c r="F25" s="9">
        <v>19.989999999999998</v>
      </c>
      <c r="G25" s="21">
        <v>39.979999999999997</v>
      </c>
      <c r="H25" s="7" t="s">
        <v>707</v>
      </c>
      <c r="I25" s="7" t="s">
        <v>674</v>
      </c>
      <c r="J25" s="7" t="s">
        <v>702</v>
      </c>
      <c r="K25" s="7" t="str">
        <f>HYPERLINK("http://slimages.macys.com/is/image/MCY/9057742 ")</f>
        <v xml:space="preserve">http://slimages.macys.com/is/image/MCY/9057742 </v>
      </c>
      <c r="L25" s="10"/>
    </row>
    <row r="26" spans="1:12" ht="20.100000000000001" customHeight="1" x14ac:dyDescent="0.25">
      <c r="A26" s="7" t="s">
        <v>963</v>
      </c>
      <c r="B26" s="20">
        <v>13815672</v>
      </c>
      <c r="C26" s="8">
        <v>29927517514</v>
      </c>
      <c r="D26" s="6" t="s">
        <v>988</v>
      </c>
      <c r="E26" s="7">
        <v>5</v>
      </c>
      <c r="F26" s="9">
        <v>19.989999999999998</v>
      </c>
      <c r="G26" s="21">
        <v>99.95</v>
      </c>
      <c r="H26" s="7" t="s">
        <v>773</v>
      </c>
      <c r="I26" s="7" t="s">
        <v>674</v>
      </c>
      <c r="J26" s="7" t="s">
        <v>702</v>
      </c>
      <c r="K26" s="7" t="str">
        <f>HYPERLINK("http://slimages.macys.com/is/image/MCY/9057742 ")</f>
        <v xml:space="preserve">http://slimages.macys.com/is/image/MCY/9057742 </v>
      </c>
      <c r="L26" s="10"/>
    </row>
    <row r="27" spans="1:12" ht="20.100000000000001" customHeight="1" x14ac:dyDescent="0.25">
      <c r="A27" s="7" t="s">
        <v>963</v>
      </c>
      <c r="B27" s="20">
        <v>13815672</v>
      </c>
      <c r="C27" s="8">
        <v>29927517521</v>
      </c>
      <c r="D27" s="6" t="s">
        <v>989</v>
      </c>
      <c r="E27" s="7">
        <v>8</v>
      </c>
      <c r="F27" s="9">
        <v>19.989999999999998</v>
      </c>
      <c r="G27" s="21">
        <v>159.91999999999999</v>
      </c>
      <c r="H27" s="7" t="s">
        <v>671</v>
      </c>
      <c r="I27" s="7" t="s">
        <v>674</v>
      </c>
      <c r="J27" s="7" t="s">
        <v>702</v>
      </c>
      <c r="K27" s="7" t="str">
        <f>HYPERLINK("http://slimages.macys.com/is/image/MCY/9057742 ")</f>
        <v xml:space="preserve">http://slimages.macys.com/is/image/MCY/9057742 </v>
      </c>
      <c r="L27" s="10"/>
    </row>
    <row r="28" spans="1:12" ht="20.100000000000001" customHeight="1" x14ac:dyDescent="0.25">
      <c r="A28" s="7" t="s">
        <v>963</v>
      </c>
      <c r="B28" s="20">
        <v>13815672</v>
      </c>
      <c r="C28" s="8">
        <v>29927517545</v>
      </c>
      <c r="D28" s="6" t="s">
        <v>990</v>
      </c>
      <c r="E28" s="7">
        <v>1</v>
      </c>
      <c r="F28" s="9">
        <v>19.989999999999998</v>
      </c>
      <c r="G28" s="21">
        <v>19.989999999999998</v>
      </c>
      <c r="H28" s="7" t="s">
        <v>701</v>
      </c>
      <c r="I28" s="7" t="s">
        <v>674</v>
      </c>
      <c r="J28" s="7" t="s">
        <v>702</v>
      </c>
      <c r="K28" s="7" t="str">
        <f>HYPERLINK("http://slimages.macys.com/is/image/MCY/9057742 ")</f>
        <v xml:space="preserve">http://slimages.macys.com/is/image/MCY/9057742 </v>
      </c>
      <c r="L28" s="10"/>
    </row>
    <row r="29" spans="1:12" ht="20.100000000000001" customHeight="1" x14ac:dyDescent="0.25">
      <c r="A29" s="7" t="s">
        <v>963</v>
      </c>
      <c r="B29" s="20">
        <v>13815672</v>
      </c>
      <c r="C29" s="8">
        <v>29927519204</v>
      </c>
      <c r="D29" s="6" t="s">
        <v>991</v>
      </c>
      <c r="E29" s="7">
        <v>1</v>
      </c>
      <c r="F29" s="9">
        <v>16.989999999999998</v>
      </c>
      <c r="G29" s="21">
        <v>16.989999999999998</v>
      </c>
      <c r="H29" s="7" t="s">
        <v>785</v>
      </c>
      <c r="I29" s="7" t="s">
        <v>674</v>
      </c>
      <c r="J29" s="7" t="s">
        <v>702</v>
      </c>
      <c r="K29" s="7" t="str">
        <f>HYPERLINK("http://slimages.macys.com/is/image/MCY/9057736 ")</f>
        <v xml:space="preserve">http://slimages.macys.com/is/image/MCY/9057736 </v>
      </c>
      <c r="L29" s="10"/>
    </row>
    <row r="30" spans="1:12" ht="20.100000000000001" customHeight="1" x14ac:dyDescent="0.25">
      <c r="A30" s="7" t="s">
        <v>963</v>
      </c>
      <c r="B30" s="20">
        <v>13815672</v>
      </c>
      <c r="C30" s="8">
        <v>29927519327</v>
      </c>
      <c r="D30" s="6" t="s">
        <v>992</v>
      </c>
      <c r="E30" s="7">
        <v>1</v>
      </c>
      <c r="F30" s="9">
        <v>18.989999999999998</v>
      </c>
      <c r="G30" s="21">
        <v>18.989999999999998</v>
      </c>
      <c r="H30" s="7" t="s">
        <v>676</v>
      </c>
      <c r="I30" s="7" t="s">
        <v>674</v>
      </c>
      <c r="J30" s="7" t="s">
        <v>702</v>
      </c>
      <c r="K30" s="7" t="str">
        <f>HYPERLINK("http://slimages.macys.com/is/image/MCY/9057926 ")</f>
        <v xml:space="preserve">http://slimages.macys.com/is/image/MCY/9057926 </v>
      </c>
      <c r="L30" s="10"/>
    </row>
    <row r="31" spans="1:12" ht="20.100000000000001" customHeight="1" x14ac:dyDescent="0.25">
      <c r="A31" s="7" t="s">
        <v>963</v>
      </c>
      <c r="B31" s="20">
        <v>13815672</v>
      </c>
      <c r="C31" s="8">
        <v>29927519334</v>
      </c>
      <c r="D31" s="6" t="s">
        <v>993</v>
      </c>
      <c r="E31" s="7">
        <v>2</v>
      </c>
      <c r="F31" s="9">
        <v>18.989999999999998</v>
      </c>
      <c r="G31" s="21">
        <v>37.979999999999997</v>
      </c>
      <c r="H31" s="7" t="s">
        <v>785</v>
      </c>
      <c r="I31" s="7" t="s">
        <v>674</v>
      </c>
      <c r="J31" s="7" t="s">
        <v>702</v>
      </c>
      <c r="K31" s="7" t="str">
        <f>HYPERLINK("http://slimages.macys.com/is/image/MCY/9057926 ")</f>
        <v xml:space="preserve">http://slimages.macys.com/is/image/MCY/9057926 </v>
      </c>
      <c r="L31" s="10"/>
    </row>
    <row r="32" spans="1:12" ht="20.100000000000001" customHeight="1" x14ac:dyDescent="0.25">
      <c r="A32" s="7" t="s">
        <v>963</v>
      </c>
      <c r="B32" s="20">
        <v>13815672</v>
      </c>
      <c r="C32" s="8">
        <v>29927519341</v>
      </c>
      <c r="D32" s="6" t="s">
        <v>994</v>
      </c>
      <c r="E32" s="7">
        <v>2</v>
      </c>
      <c r="F32" s="9">
        <v>18.989999999999998</v>
      </c>
      <c r="G32" s="21">
        <v>37.979999999999997</v>
      </c>
      <c r="H32" s="7" t="s">
        <v>701</v>
      </c>
      <c r="I32" s="7" t="s">
        <v>674</v>
      </c>
      <c r="J32" s="7" t="s">
        <v>702</v>
      </c>
      <c r="K32" s="7" t="str">
        <f>HYPERLINK("http://slimages.macys.com/is/image/MCY/9057926 ")</f>
        <v xml:space="preserve">http://slimages.macys.com/is/image/MCY/9057926 </v>
      </c>
      <c r="L32" s="10"/>
    </row>
    <row r="33" spans="1:12" ht="20.100000000000001" customHeight="1" x14ac:dyDescent="0.25">
      <c r="A33" s="7" t="s">
        <v>963</v>
      </c>
      <c r="B33" s="20">
        <v>13815672</v>
      </c>
      <c r="C33" s="8">
        <v>29927519532</v>
      </c>
      <c r="D33" s="6" t="s">
        <v>995</v>
      </c>
      <c r="E33" s="7">
        <v>3</v>
      </c>
      <c r="F33" s="9">
        <v>44.99</v>
      </c>
      <c r="G33" s="21">
        <v>134.97</v>
      </c>
      <c r="H33" s="7" t="s">
        <v>775</v>
      </c>
      <c r="I33" s="7" t="s">
        <v>674</v>
      </c>
      <c r="J33" s="7" t="s">
        <v>702</v>
      </c>
      <c r="K33" s="7" t="str">
        <f>HYPERLINK("http://slimages.macys.com/is/image/MCY/9057368 ")</f>
        <v xml:space="preserve">http://slimages.macys.com/is/image/MCY/9057368 </v>
      </c>
      <c r="L33" s="10"/>
    </row>
    <row r="34" spans="1:12" ht="20.100000000000001" customHeight="1" x14ac:dyDescent="0.25">
      <c r="A34" s="7" t="s">
        <v>963</v>
      </c>
      <c r="B34" s="20">
        <v>13815672</v>
      </c>
      <c r="C34" s="8">
        <v>29927519600</v>
      </c>
      <c r="D34" s="6" t="s">
        <v>996</v>
      </c>
      <c r="E34" s="7">
        <v>1</v>
      </c>
      <c r="F34" s="9">
        <v>33.99</v>
      </c>
      <c r="G34" s="21">
        <v>33.99</v>
      </c>
      <c r="H34" s="7" t="s">
        <v>823</v>
      </c>
      <c r="I34" s="7" t="s">
        <v>674</v>
      </c>
      <c r="J34" s="7" t="s">
        <v>702</v>
      </c>
      <c r="K34" s="7" t="str">
        <f>HYPERLINK("http://slimages.macys.com/is/image/MCY/9057469 ")</f>
        <v xml:space="preserve">http://slimages.macys.com/is/image/MCY/9057469 </v>
      </c>
      <c r="L34" s="10"/>
    </row>
    <row r="35" spans="1:12" ht="20.100000000000001" customHeight="1" x14ac:dyDescent="0.25">
      <c r="A35" s="7" t="s">
        <v>963</v>
      </c>
      <c r="B35" s="20">
        <v>13815672</v>
      </c>
      <c r="C35" s="8">
        <v>29927524567</v>
      </c>
      <c r="D35" s="6" t="s">
        <v>997</v>
      </c>
      <c r="E35" s="7">
        <v>7</v>
      </c>
      <c r="F35" s="9">
        <v>14.99</v>
      </c>
      <c r="G35" s="21">
        <v>104.93</v>
      </c>
      <c r="H35" s="7" t="s">
        <v>668</v>
      </c>
      <c r="I35" s="7" t="s">
        <v>674</v>
      </c>
      <c r="J35" s="7" t="s">
        <v>702</v>
      </c>
      <c r="K35" s="7" t="str">
        <f>HYPERLINK("http://slimages.macys.com/is/image/MCY/9644295 ")</f>
        <v xml:space="preserve">http://slimages.macys.com/is/image/MCY/9644295 </v>
      </c>
      <c r="L35" s="10"/>
    </row>
    <row r="36" spans="1:12" ht="20.100000000000001" customHeight="1" x14ac:dyDescent="0.25">
      <c r="A36" s="7" t="s">
        <v>963</v>
      </c>
      <c r="B36" s="20">
        <v>13815672</v>
      </c>
      <c r="C36" s="8">
        <v>29927532050</v>
      </c>
      <c r="D36" s="6" t="s">
        <v>998</v>
      </c>
      <c r="E36" s="7">
        <v>4</v>
      </c>
      <c r="F36" s="9">
        <v>14.99</v>
      </c>
      <c r="G36" s="21">
        <v>59.96</v>
      </c>
      <c r="H36" s="7" t="s">
        <v>999</v>
      </c>
      <c r="I36" s="7" t="s">
        <v>674</v>
      </c>
      <c r="J36" s="7" t="s">
        <v>702</v>
      </c>
      <c r="K36" s="7" t="str">
        <f>HYPERLINK("http://slimages.macys.com/is/image/MCY/8759720 ")</f>
        <v xml:space="preserve">http://slimages.macys.com/is/image/MCY/8759720 </v>
      </c>
      <c r="L36" s="10"/>
    </row>
    <row r="37" spans="1:12" ht="20.100000000000001" customHeight="1" x14ac:dyDescent="0.25">
      <c r="A37" s="7" t="s">
        <v>963</v>
      </c>
      <c r="B37" s="20">
        <v>13815672</v>
      </c>
      <c r="C37" s="8">
        <v>29927532203</v>
      </c>
      <c r="D37" s="6" t="s">
        <v>1000</v>
      </c>
      <c r="E37" s="7">
        <v>3</v>
      </c>
      <c r="F37" s="9">
        <v>19.989999999999998</v>
      </c>
      <c r="G37" s="21">
        <v>59.97</v>
      </c>
      <c r="H37" s="7" t="s">
        <v>919</v>
      </c>
      <c r="I37" s="7" t="s">
        <v>674</v>
      </c>
      <c r="J37" s="7" t="s">
        <v>702</v>
      </c>
      <c r="K37" s="7" t="str">
        <f>HYPERLINK("http://slimages.macys.com/is/image/MCY/10007752 ")</f>
        <v xml:space="preserve">http://slimages.macys.com/is/image/MCY/10007752 </v>
      </c>
      <c r="L37" s="10"/>
    </row>
    <row r="38" spans="1:12" ht="20.100000000000001" customHeight="1" x14ac:dyDescent="0.25">
      <c r="A38" s="7" t="s">
        <v>963</v>
      </c>
      <c r="B38" s="20">
        <v>13815672</v>
      </c>
      <c r="C38" s="8">
        <v>29927532388</v>
      </c>
      <c r="D38" s="6" t="s">
        <v>1001</v>
      </c>
      <c r="E38" s="7">
        <v>1</v>
      </c>
      <c r="F38" s="9">
        <v>23.99</v>
      </c>
      <c r="G38" s="21">
        <v>23.99</v>
      </c>
      <c r="H38" s="7" t="s">
        <v>762</v>
      </c>
      <c r="I38" s="7" t="s">
        <v>674</v>
      </c>
      <c r="J38" s="7" t="s">
        <v>702</v>
      </c>
      <c r="K38" s="7" t="str">
        <f>HYPERLINK("http://slimages.macys.com/is/image/MCY/10007765 ")</f>
        <v xml:space="preserve">http://slimages.macys.com/is/image/MCY/10007765 </v>
      </c>
      <c r="L38" s="10"/>
    </row>
    <row r="39" spans="1:12" ht="20.100000000000001" customHeight="1" x14ac:dyDescent="0.25">
      <c r="A39" s="7" t="s">
        <v>963</v>
      </c>
      <c r="B39" s="20">
        <v>13815672</v>
      </c>
      <c r="C39" s="8">
        <v>29927532456</v>
      </c>
      <c r="D39" s="6" t="s">
        <v>1002</v>
      </c>
      <c r="E39" s="7">
        <v>2</v>
      </c>
      <c r="F39" s="9">
        <v>19.989999999999998</v>
      </c>
      <c r="G39" s="21">
        <v>39.979999999999997</v>
      </c>
      <c r="H39" s="7" t="s">
        <v>1003</v>
      </c>
      <c r="I39" s="7" t="s">
        <v>674</v>
      </c>
      <c r="J39" s="7" t="s">
        <v>702</v>
      </c>
      <c r="K39" s="7" t="str">
        <f>HYPERLINK("http://slimages.macys.com/is/image/MCY/8759583 ")</f>
        <v xml:space="preserve">http://slimages.macys.com/is/image/MCY/8759583 </v>
      </c>
      <c r="L39" s="10"/>
    </row>
    <row r="40" spans="1:12" ht="20.100000000000001" customHeight="1" x14ac:dyDescent="0.25">
      <c r="A40" s="7" t="s">
        <v>963</v>
      </c>
      <c r="B40" s="20">
        <v>13815672</v>
      </c>
      <c r="C40" s="8">
        <v>29927532463</v>
      </c>
      <c r="D40" s="6" t="s">
        <v>1004</v>
      </c>
      <c r="E40" s="7">
        <v>1</v>
      </c>
      <c r="F40" s="9">
        <v>19.989999999999998</v>
      </c>
      <c r="G40" s="21">
        <v>19.989999999999998</v>
      </c>
      <c r="H40" s="7" t="s">
        <v>721</v>
      </c>
      <c r="I40" s="7" t="s">
        <v>674</v>
      </c>
      <c r="J40" s="7" t="s">
        <v>702</v>
      </c>
      <c r="K40" s="7" t="str">
        <f>HYPERLINK("http://slimages.macys.com/is/image/MCY/8759583 ")</f>
        <v xml:space="preserve">http://slimages.macys.com/is/image/MCY/8759583 </v>
      </c>
      <c r="L40" s="10"/>
    </row>
    <row r="41" spans="1:12" ht="20.100000000000001" customHeight="1" x14ac:dyDescent="0.25">
      <c r="A41" s="7" t="s">
        <v>963</v>
      </c>
      <c r="B41" s="20">
        <v>13815672</v>
      </c>
      <c r="C41" s="8">
        <v>29927532517</v>
      </c>
      <c r="D41" s="6" t="s">
        <v>1005</v>
      </c>
      <c r="E41" s="7">
        <v>1</v>
      </c>
      <c r="F41" s="9">
        <v>21.99</v>
      </c>
      <c r="G41" s="21">
        <v>21.99</v>
      </c>
      <c r="H41" s="7" t="s">
        <v>721</v>
      </c>
      <c r="I41" s="7" t="s">
        <v>674</v>
      </c>
      <c r="J41" s="7" t="s">
        <v>702</v>
      </c>
      <c r="K41" s="7" t="str">
        <f>HYPERLINK("http://slimages.macys.com/is/image/MCY/10006710 ")</f>
        <v xml:space="preserve">http://slimages.macys.com/is/image/MCY/10006710 </v>
      </c>
      <c r="L41" s="10"/>
    </row>
    <row r="42" spans="1:12" ht="20.100000000000001" customHeight="1" x14ac:dyDescent="0.25">
      <c r="A42" s="7" t="s">
        <v>963</v>
      </c>
      <c r="B42" s="20">
        <v>13815672</v>
      </c>
      <c r="C42" s="8">
        <v>29927534535</v>
      </c>
      <c r="D42" s="6" t="s">
        <v>1006</v>
      </c>
      <c r="E42" s="7">
        <v>1</v>
      </c>
      <c r="F42" s="9">
        <v>15.99</v>
      </c>
      <c r="G42" s="21">
        <v>15.99</v>
      </c>
      <c r="H42" s="7" t="s">
        <v>785</v>
      </c>
      <c r="I42" s="7" t="s">
        <v>674</v>
      </c>
      <c r="J42" s="7" t="s">
        <v>702</v>
      </c>
      <c r="K42" s="7" t="str">
        <f>HYPERLINK("http://slimages.macys.com/is/image/MCY/10010137 ")</f>
        <v xml:space="preserve">http://slimages.macys.com/is/image/MCY/10010137 </v>
      </c>
      <c r="L42" s="10"/>
    </row>
    <row r="43" spans="1:12" ht="20.100000000000001" customHeight="1" x14ac:dyDescent="0.25">
      <c r="A43" s="7" t="s">
        <v>963</v>
      </c>
      <c r="B43" s="20">
        <v>13815672</v>
      </c>
      <c r="C43" s="8">
        <v>29927535754</v>
      </c>
      <c r="D43" s="6" t="s">
        <v>1007</v>
      </c>
      <c r="E43" s="7">
        <v>1</v>
      </c>
      <c r="F43" s="9">
        <v>10.99</v>
      </c>
      <c r="G43" s="21">
        <v>10.99</v>
      </c>
      <c r="H43" s="7" t="s">
        <v>773</v>
      </c>
      <c r="I43" s="7" t="s">
        <v>674</v>
      </c>
      <c r="J43" s="7" t="s">
        <v>702</v>
      </c>
      <c r="K43" s="7" t="str">
        <f>HYPERLINK("http://slimages.macys.com/is/image/MCY/10007985 ")</f>
        <v xml:space="preserve">http://slimages.macys.com/is/image/MCY/10007985 </v>
      </c>
      <c r="L43" s="10"/>
    </row>
    <row r="44" spans="1:12" ht="20.100000000000001" customHeight="1" x14ac:dyDescent="0.25">
      <c r="A44" s="7" t="s">
        <v>963</v>
      </c>
      <c r="B44" s="20">
        <v>13815672</v>
      </c>
      <c r="C44" s="8">
        <v>29927536645</v>
      </c>
      <c r="D44" s="6" t="s">
        <v>1008</v>
      </c>
      <c r="E44" s="7">
        <v>1</v>
      </c>
      <c r="F44" s="9">
        <v>26.99</v>
      </c>
      <c r="G44" s="21">
        <v>26.99</v>
      </c>
      <c r="H44" s="7" t="s">
        <v>676</v>
      </c>
      <c r="I44" s="7" t="s">
        <v>674</v>
      </c>
      <c r="J44" s="7" t="s">
        <v>702</v>
      </c>
      <c r="K44" s="7" t="str">
        <f>HYPERLINK("http://slimages.macys.com/is/image/MCY/9972690 ")</f>
        <v xml:space="preserve">http://slimages.macys.com/is/image/MCY/9972690 </v>
      </c>
      <c r="L44" s="10"/>
    </row>
    <row r="45" spans="1:12" ht="20.100000000000001" customHeight="1" x14ac:dyDescent="0.25">
      <c r="A45" s="7" t="s">
        <v>963</v>
      </c>
      <c r="B45" s="20">
        <v>13815672</v>
      </c>
      <c r="C45" s="8">
        <v>29927543414</v>
      </c>
      <c r="D45" s="6" t="s">
        <v>1009</v>
      </c>
      <c r="E45" s="7">
        <v>1</v>
      </c>
      <c r="F45" s="9">
        <v>22.99</v>
      </c>
      <c r="G45" s="21">
        <v>22.99</v>
      </c>
      <c r="H45" s="7" t="s">
        <v>762</v>
      </c>
      <c r="I45" s="7" t="s">
        <v>674</v>
      </c>
      <c r="J45" s="7" t="s">
        <v>702</v>
      </c>
      <c r="K45" s="7" t="str">
        <f>HYPERLINK("http://slimages.macys.com/is/image/MCY/11243035 ")</f>
        <v xml:space="preserve">http://slimages.macys.com/is/image/MCY/11243035 </v>
      </c>
      <c r="L45" s="10"/>
    </row>
    <row r="46" spans="1:12" ht="20.100000000000001" customHeight="1" x14ac:dyDescent="0.25">
      <c r="A46" s="7" t="s">
        <v>963</v>
      </c>
      <c r="B46" s="20">
        <v>13815672</v>
      </c>
      <c r="C46" s="8">
        <v>29927548709</v>
      </c>
      <c r="D46" s="6" t="s">
        <v>1010</v>
      </c>
      <c r="E46" s="7">
        <v>1</v>
      </c>
      <c r="F46" s="9">
        <v>34.99</v>
      </c>
      <c r="G46" s="21">
        <v>34.99</v>
      </c>
      <c r="H46" s="7" t="s">
        <v>668</v>
      </c>
      <c r="I46" s="7" t="s">
        <v>674</v>
      </c>
      <c r="J46" s="7" t="s">
        <v>702</v>
      </c>
      <c r="K46" s="7" t="str">
        <f>HYPERLINK("http://slimages.macys.com/is/image/MCY/11247680 ")</f>
        <v xml:space="preserve">http://slimages.macys.com/is/image/MCY/11247680 </v>
      </c>
      <c r="L46" s="10"/>
    </row>
    <row r="47" spans="1:12" ht="20.100000000000001" customHeight="1" x14ac:dyDescent="0.25">
      <c r="A47" s="7" t="s">
        <v>963</v>
      </c>
      <c r="B47" s="20">
        <v>13815672</v>
      </c>
      <c r="C47" s="8">
        <v>29927554106</v>
      </c>
      <c r="D47" s="6" t="s">
        <v>1011</v>
      </c>
      <c r="E47" s="7">
        <v>2</v>
      </c>
      <c r="F47" s="9">
        <v>24.99</v>
      </c>
      <c r="G47" s="21">
        <v>49.98</v>
      </c>
      <c r="H47" s="7" t="s">
        <v>773</v>
      </c>
      <c r="I47" s="7" t="s">
        <v>674</v>
      </c>
      <c r="J47" s="7" t="s">
        <v>702</v>
      </c>
      <c r="K47" s="7" t="str">
        <f>HYPERLINK("http://slimages.macys.com/is/image/MCY/9972677 ")</f>
        <v xml:space="preserve">http://slimages.macys.com/is/image/MCY/9972677 </v>
      </c>
      <c r="L47" s="10"/>
    </row>
    <row r="48" spans="1:12" ht="20.100000000000001" customHeight="1" x14ac:dyDescent="0.25">
      <c r="A48" s="7" t="s">
        <v>963</v>
      </c>
      <c r="B48" s="20">
        <v>13815672</v>
      </c>
      <c r="C48" s="8">
        <v>29927558586</v>
      </c>
      <c r="D48" s="6" t="s">
        <v>1012</v>
      </c>
      <c r="E48" s="7">
        <v>1</v>
      </c>
      <c r="F48" s="9">
        <v>54.99</v>
      </c>
      <c r="G48" s="21">
        <v>54.99</v>
      </c>
      <c r="H48" s="7" t="s">
        <v>765</v>
      </c>
      <c r="I48" s="7" t="s">
        <v>674</v>
      </c>
      <c r="J48" s="7" t="s">
        <v>702</v>
      </c>
      <c r="K48" s="7" t="str">
        <f>HYPERLINK("http://slimages.macys.com/is/image/MCY/14732857 ")</f>
        <v xml:space="preserve">http://slimages.macys.com/is/image/MCY/14732857 </v>
      </c>
      <c r="L48" s="10"/>
    </row>
    <row r="49" spans="1:12" ht="20.100000000000001" customHeight="1" x14ac:dyDescent="0.25">
      <c r="A49" s="7" t="s">
        <v>963</v>
      </c>
      <c r="B49" s="20">
        <v>13815672</v>
      </c>
      <c r="C49" s="8">
        <v>29927558678</v>
      </c>
      <c r="D49" s="6" t="s">
        <v>1013</v>
      </c>
      <c r="E49" s="7">
        <v>3</v>
      </c>
      <c r="F49" s="9">
        <v>44.99</v>
      </c>
      <c r="G49" s="21">
        <v>134.97</v>
      </c>
      <c r="H49" s="7" t="s">
        <v>701</v>
      </c>
      <c r="I49" s="7" t="s">
        <v>674</v>
      </c>
      <c r="J49" s="7" t="s">
        <v>702</v>
      </c>
      <c r="K49" s="7" t="str">
        <f>HYPERLINK("http://slimages.macys.com/is/image/MCY/13583592 ")</f>
        <v xml:space="preserve">http://slimages.macys.com/is/image/MCY/13583592 </v>
      </c>
      <c r="L49" s="10"/>
    </row>
    <row r="50" spans="1:12" ht="20.100000000000001" customHeight="1" x14ac:dyDescent="0.25">
      <c r="A50" s="7" t="s">
        <v>963</v>
      </c>
      <c r="B50" s="20">
        <v>13815672</v>
      </c>
      <c r="C50" s="8">
        <v>29927558722</v>
      </c>
      <c r="D50" s="6" t="s">
        <v>1014</v>
      </c>
      <c r="E50" s="7">
        <v>1</v>
      </c>
      <c r="F50" s="9">
        <v>49.99</v>
      </c>
      <c r="G50" s="21">
        <v>49.99</v>
      </c>
      <c r="H50" s="7" t="s">
        <v>701</v>
      </c>
      <c r="I50" s="7" t="s">
        <v>674</v>
      </c>
      <c r="J50" s="7" t="s">
        <v>702</v>
      </c>
      <c r="K50" s="7" t="str">
        <f>HYPERLINK("http://slimages.macys.com/is/image/MCY/13815274 ")</f>
        <v xml:space="preserve">http://slimages.macys.com/is/image/MCY/13815274 </v>
      </c>
      <c r="L50" s="10"/>
    </row>
    <row r="51" spans="1:12" ht="20.100000000000001" customHeight="1" x14ac:dyDescent="0.25">
      <c r="A51" s="7" t="s">
        <v>963</v>
      </c>
      <c r="B51" s="20">
        <v>13815672</v>
      </c>
      <c r="C51" s="8">
        <v>29927559224</v>
      </c>
      <c r="D51" s="6" t="s">
        <v>1015</v>
      </c>
      <c r="E51" s="7">
        <v>1</v>
      </c>
      <c r="F51" s="9">
        <v>29.99</v>
      </c>
      <c r="G51" s="21">
        <v>29.99</v>
      </c>
      <c r="H51" s="7" t="s">
        <v>721</v>
      </c>
      <c r="I51" s="7" t="s">
        <v>674</v>
      </c>
      <c r="J51" s="7" t="s">
        <v>702</v>
      </c>
      <c r="K51" s="7" t="str">
        <f>HYPERLINK("http://slimages.macys.com/is/image/MCY/14663540 ")</f>
        <v xml:space="preserve">http://slimages.macys.com/is/image/MCY/14663540 </v>
      </c>
      <c r="L51" s="10"/>
    </row>
    <row r="52" spans="1:12" ht="20.100000000000001" customHeight="1" x14ac:dyDescent="0.25">
      <c r="A52" s="7" t="s">
        <v>963</v>
      </c>
      <c r="B52" s="20">
        <v>13815672</v>
      </c>
      <c r="C52" s="8">
        <v>29927559637</v>
      </c>
      <c r="D52" s="6" t="s">
        <v>1016</v>
      </c>
      <c r="E52" s="7">
        <v>1</v>
      </c>
      <c r="F52" s="9">
        <v>25.99</v>
      </c>
      <c r="G52" s="21">
        <v>25.99</v>
      </c>
      <c r="H52" s="7" t="s">
        <v>671</v>
      </c>
      <c r="I52" s="7" t="s">
        <v>674</v>
      </c>
      <c r="J52" s="7" t="s">
        <v>702</v>
      </c>
      <c r="K52" s="7" t="str">
        <f>HYPERLINK("http://slimages.macys.com/is/image/MCY/14663345 ")</f>
        <v xml:space="preserve">http://slimages.macys.com/is/image/MCY/14663345 </v>
      </c>
      <c r="L52" s="10"/>
    </row>
    <row r="53" spans="1:12" ht="20.100000000000001" customHeight="1" x14ac:dyDescent="0.25">
      <c r="A53" s="7" t="s">
        <v>963</v>
      </c>
      <c r="B53" s="20">
        <v>13815672</v>
      </c>
      <c r="C53" s="8">
        <v>29927559835</v>
      </c>
      <c r="D53" s="6" t="s">
        <v>1017</v>
      </c>
      <c r="E53" s="7">
        <v>3</v>
      </c>
      <c r="F53" s="9">
        <v>29.99</v>
      </c>
      <c r="G53" s="21">
        <v>89.97</v>
      </c>
      <c r="H53" s="7" t="s">
        <v>671</v>
      </c>
      <c r="I53" s="7" t="s">
        <v>674</v>
      </c>
      <c r="J53" s="7" t="s">
        <v>702</v>
      </c>
      <c r="K53" s="7" t="str">
        <f>HYPERLINK("http://slimages.macys.com/is/image/MCY/14663540 ")</f>
        <v xml:space="preserve">http://slimages.macys.com/is/image/MCY/14663540 </v>
      </c>
      <c r="L53" s="10"/>
    </row>
    <row r="54" spans="1:12" ht="20.100000000000001" customHeight="1" x14ac:dyDescent="0.25">
      <c r="A54" s="7" t="s">
        <v>963</v>
      </c>
      <c r="B54" s="20">
        <v>13815672</v>
      </c>
      <c r="C54" s="8">
        <v>29927562163</v>
      </c>
      <c r="D54" s="6" t="s">
        <v>1018</v>
      </c>
      <c r="E54" s="7">
        <v>1</v>
      </c>
      <c r="F54" s="9">
        <v>21.99</v>
      </c>
      <c r="G54" s="21">
        <v>21.99</v>
      </c>
      <c r="H54" s="7" t="s">
        <v>668</v>
      </c>
      <c r="I54" s="7" t="s">
        <v>674</v>
      </c>
      <c r="J54" s="7" t="s">
        <v>702</v>
      </c>
      <c r="K54" s="7" t="str">
        <f>HYPERLINK("http://slimages.macys.com/is/image/MCY/17936226 ")</f>
        <v xml:space="preserve">http://slimages.macys.com/is/image/MCY/17936226 </v>
      </c>
      <c r="L54" s="10"/>
    </row>
    <row r="55" spans="1:12" ht="20.100000000000001" customHeight="1" x14ac:dyDescent="0.25">
      <c r="A55" s="7" t="s">
        <v>963</v>
      </c>
      <c r="B55" s="20">
        <v>13815672</v>
      </c>
      <c r="C55" s="8">
        <v>29927565201</v>
      </c>
      <c r="D55" s="6" t="s">
        <v>1019</v>
      </c>
      <c r="E55" s="7">
        <v>4</v>
      </c>
      <c r="F55" s="9">
        <v>16.989999999999998</v>
      </c>
      <c r="G55" s="21">
        <v>67.959999999999994</v>
      </c>
      <c r="H55" s="7" t="s">
        <v>773</v>
      </c>
      <c r="I55" s="7" t="s">
        <v>674</v>
      </c>
      <c r="J55" s="7" t="s">
        <v>702</v>
      </c>
      <c r="K55" s="7" t="str">
        <f>HYPERLINK("http://slimages.macys.com/is/image/MCY/9197452 ")</f>
        <v xml:space="preserve">http://slimages.macys.com/is/image/MCY/9197452 </v>
      </c>
      <c r="L55" s="10"/>
    </row>
    <row r="56" spans="1:12" ht="20.100000000000001" customHeight="1" x14ac:dyDescent="0.25">
      <c r="A56" s="7" t="s">
        <v>963</v>
      </c>
      <c r="B56" s="20">
        <v>13815672</v>
      </c>
      <c r="C56" s="8">
        <v>29927565669</v>
      </c>
      <c r="D56" s="6" t="s">
        <v>1020</v>
      </c>
      <c r="E56" s="7">
        <v>1</v>
      </c>
      <c r="F56" s="9">
        <v>17.989999999999998</v>
      </c>
      <c r="G56" s="21">
        <v>17.989999999999998</v>
      </c>
      <c r="H56" s="7" t="s">
        <v>1021</v>
      </c>
      <c r="I56" s="7" t="s">
        <v>674</v>
      </c>
      <c r="J56" s="7" t="s">
        <v>702</v>
      </c>
      <c r="K56" s="7" t="str">
        <f>HYPERLINK("http://slimages.macys.com/is/image/MCY/10010137 ")</f>
        <v xml:space="preserve">http://slimages.macys.com/is/image/MCY/10010137 </v>
      </c>
      <c r="L56" s="10"/>
    </row>
    <row r="57" spans="1:12" ht="20.100000000000001" customHeight="1" x14ac:dyDescent="0.25">
      <c r="A57" s="7" t="s">
        <v>963</v>
      </c>
      <c r="B57" s="20">
        <v>13815672</v>
      </c>
      <c r="C57" s="8">
        <v>29927565720</v>
      </c>
      <c r="D57" s="6" t="s">
        <v>1022</v>
      </c>
      <c r="E57" s="7">
        <v>2</v>
      </c>
      <c r="F57" s="9">
        <v>24.99</v>
      </c>
      <c r="G57" s="21">
        <v>49.98</v>
      </c>
      <c r="H57" s="7" t="s">
        <v>1021</v>
      </c>
      <c r="I57" s="7" t="s">
        <v>674</v>
      </c>
      <c r="J57" s="7" t="s">
        <v>702</v>
      </c>
      <c r="K57" s="7" t="str">
        <f>HYPERLINK("http://slimages.macys.com/is/image/MCY/16060242 ")</f>
        <v xml:space="preserve">http://slimages.macys.com/is/image/MCY/16060242 </v>
      </c>
    </row>
    <row r="58" spans="1:12" ht="20.100000000000001" customHeight="1" x14ac:dyDescent="0.25">
      <c r="A58" s="7" t="s">
        <v>963</v>
      </c>
      <c r="B58" s="20">
        <v>13815672</v>
      </c>
      <c r="C58" s="8">
        <v>29927566888</v>
      </c>
      <c r="D58" s="6" t="s">
        <v>1023</v>
      </c>
      <c r="E58" s="7">
        <v>2</v>
      </c>
      <c r="F58" s="9">
        <v>21.99</v>
      </c>
      <c r="G58" s="21">
        <v>43.98</v>
      </c>
      <c r="H58" s="7" t="s">
        <v>807</v>
      </c>
      <c r="I58" s="7" t="s">
        <v>674</v>
      </c>
      <c r="J58" s="7" t="s">
        <v>702</v>
      </c>
      <c r="K58" s="7" t="str">
        <f>HYPERLINK("http://slimages.macys.com/is/image/MCY/16061164 ")</f>
        <v xml:space="preserve">http://slimages.macys.com/is/image/MCY/16061164 </v>
      </c>
    </row>
    <row r="59" spans="1:12" ht="20.100000000000001" customHeight="1" x14ac:dyDescent="0.25">
      <c r="A59" s="7" t="s">
        <v>963</v>
      </c>
      <c r="B59" s="20">
        <v>13815672</v>
      </c>
      <c r="C59" s="8">
        <v>29927567373</v>
      </c>
      <c r="D59" s="6" t="s">
        <v>1024</v>
      </c>
      <c r="E59" s="7">
        <v>3</v>
      </c>
      <c r="F59" s="9">
        <v>18.989999999999998</v>
      </c>
      <c r="G59" s="21">
        <v>56.97</v>
      </c>
      <c r="H59" s="7" t="s">
        <v>773</v>
      </c>
      <c r="I59" s="7" t="s">
        <v>674</v>
      </c>
      <c r="J59" s="7" t="s">
        <v>702</v>
      </c>
      <c r="K59" s="7" t="str">
        <f>HYPERLINK("http://slimages.macys.com/is/image/MCY/9057926 ")</f>
        <v xml:space="preserve">http://slimages.macys.com/is/image/MCY/9057926 </v>
      </c>
    </row>
    <row r="60" spans="1:12" ht="20.100000000000001" customHeight="1" x14ac:dyDescent="0.25">
      <c r="A60" s="7" t="s">
        <v>963</v>
      </c>
      <c r="B60" s="20">
        <v>13815672</v>
      </c>
      <c r="C60" s="8">
        <v>29927578287</v>
      </c>
      <c r="D60" s="6" t="s">
        <v>886</v>
      </c>
      <c r="E60" s="7">
        <v>1</v>
      </c>
      <c r="F60" s="9">
        <v>31.99</v>
      </c>
      <c r="G60" s="21">
        <v>31.99</v>
      </c>
      <c r="H60" s="7" t="s">
        <v>665</v>
      </c>
      <c r="I60" s="7" t="s">
        <v>674</v>
      </c>
      <c r="J60" s="7" t="s">
        <v>702</v>
      </c>
      <c r="K60" s="7" t="str">
        <f>HYPERLINK("http://slimages.macys.com/is/image/MCY/17939279 ")</f>
        <v xml:space="preserve">http://slimages.macys.com/is/image/MCY/17939279 </v>
      </c>
    </row>
    <row r="61" spans="1:12" ht="20.100000000000001" customHeight="1" x14ac:dyDescent="0.25">
      <c r="A61" s="7" t="s">
        <v>963</v>
      </c>
      <c r="B61" s="20">
        <v>13815672</v>
      </c>
      <c r="C61" s="8">
        <v>42075505141</v>
      </c>
      <c r="D61" s="6" t="s">
        <v>1025</v>
      </c>
      <c r="E61" s="7">
        <v>1</v>
      </c>
      <c r="F61" s="9">
        <v>29.99</v>
      </c>
      <c r="G61" s="21">
        <v>29.99</v>
      </c>
      <c r="H61" s="7" t="s">
        <v>773</v>
      </c>
      <c r="I61" s="7" t="s">
        <v>719</v>
      </c>
      <c r="J61" s="7" t="s">
        <v>720</v>
      </c>
      <c r="K61" s="7" t="str">
        <f>HYPERLINK("http://slimages.macys.com/is/image/MCY/9708370 ")</f>
        <v xml:space="preserve">http://slimages.macys.com/is/image/MCY/9708370 </v>
      </c>
    </row>
    <row r="62" spans="1:12" ht="20.100000000000001" customHeight="1" x14ac:dyDescent="0.25">
      <c r="A62" s="7" t="s">
        <v>963</v>
      </c>
      <c r="B62" s="20">
        <v>13815672</v>
      </c>
      <c r="C62" s="8">
        <v>42075594244</v>
      </c>
      <c r="D62" s="6" t="s">
        <v>1026</v>
      </c>
      <c r="E62" s="7">
        <v>1</v>
      </c>
      <c r="F62" s="9">
        <v>179.99</v>
      </c>
      <c r="G62" s="21">
        <v>179.99</v>
      </c>
      <c r="H62" s="7" t="s">
        <v>668</v>
      </c>
      <c r="I62" s="7" t="s">
        <v>719</v>
      </c>
      <c r="J62" s="7" t="s">
        <v>720</v>
      </c>
      <c r="K62" s="7" t="str">
        <f>HYPERLINK("http://slimages.macys.com/is/image/MCY/18414478 ")</f>
        <v xml:space="preserve">http://slimages.macys.com/is/image/MCY/18414478 </v>
      </c>
    </row>
    <row r="63" spans="1:12" ht="20.100000000000001" customHeight="1" x14ac:dyDescent="0.25">
      <c r="A63" s="7" t="s">
        <v>963</v>
      </c>
      <c r="B63" s="20">
        <v>13815672</v>
      </c>
      <c r="C63" s="8">
        <v>42437025775</v>
      </c>
      <c r="D63" s="6" t="s">
        <v>1027</v>
      </c>
      <c r="E63" s="7">
        <v>1</v>
      </c>
      <c r="F63" s="9">
        <v>54.99</v>
      </c>
      <c r="G63" s="21">
        <v>54.99</v>
      </c>
      <c r="H63" s="7" t="s">
        <v>665</v>
      </c>
      <c r="I63" s="7" t="s">
        <v>682</v>
      </c>
      <c r="J63" s="7" t="s">
        <v>903</v>
      </c>
      <c r="K63" s="7" t="str">
        <f>HYPERLINK("http://slimages.macys.com/is/image/MCY/14465106 ")</f>
        <v xml:space="preserve">http://slimages.macys.com/is/image/MCY/14465106 </v>
      </c>
    </row>
    <row r="64" spans="1:12" ht="20.100000000000001" customHeight="1" x14ac:dyDescent="0.25">
      <c r="A64" s="7" t="s">
        <v>963</v>
      </c>
      <c r="B64" s="20">
        <v>13815672</v>
      </c>
      <c r="C64" s="8">
        <v>46249646661</v>
      </c>
      <c r="D64" s="6" t="s">
        <v>1028</v>
      </c>
      <c r="E64" s="7">
        <v>1</v>
      </c>
      <c r="F64" s="9">
        <v>3.99</v>
      </c>
      <c r="G64" s="21">
        <v>3.99</v>
      </c>
      <c r="H64" s="7" t="s">
        <v>878</v>
      </c>
      <c r="I64" s="7" t="s">
        <v>752</v>
      </c>
      <c r="J64" s="7" t="s">
        <v>792</v>
      </c>
      <c r="K64" s="7" t="str">
        <f>HYPERLINK("http://slimages.macys.com/is/image/MCY/17493343 ")</f>
        <v xml:space="preserve">http://slimages.macys.com/is/image/MCY/17493343 </v>
      </c>
    </row>
    <row r="65" spans="1:11" ht="20.100000000000001" customHeight="1" x14ac:dyDescent="0.25">
      <c r="A65" s="7" t="s">
        <v>963</v>
      </c>
      <c r="B65" s="20">
        <v>13815672</v>
      </c>
      <c r="C65" s="8">
        <v>46249646678</v>
      </c>
      <c r="D65" s="6" t="s">
        <v>1029</v>
      </c>
      <c r="E65" s="7">
        <v>1</v>
      </c>
      <c r="F65" s="9">
        <v>7.99</v>
      </c>
      <c r="G65" s="21">
        <v>7.99</v>
      </c>
      <c r="H65" s="7" t="s">
        <v>668</v>
      </c>
      <c r="I65" s="7" t="s">
        <v>752</v>
      </c>
      <c r="J65" s="7" t="s">
        <v>792</v>
      </c>
      <c r="K65" s="7" t="str">
        <f>HYPERLINK("http://slimages.macys.com/is/image/MCY/17492917 ")</f>
        <v xml:space="preserve">http://slimages.macys.com/is/image/MCY/17492917 </v>
      </c>
    </row>
    <row r="66" spans="1:11" ht="20.100000000000001" customHeight="1" x14ac:dyDescent="0.25">
      <c r="A66" s="7" t="s">
        <v>963</v>
      </c>
      <c r="B66" s="20">
        <v>13815672</v>
      </c>
      <c r="C66" s="8">
        <v>46249646906</v>
      </c>
      <c r="D66" s="6" t="s">
        <v>1030</v>
      </c>
      <c r="E66" s="7">
        <v>3</v>
      </c>
      <c r="F66" s="9">
        <v>3.99</v>
      </c>
      <c r="G66" s="21">
        <v>11.97</v>
      </c>
      <c r="H66" s="7" t="s">
        <v>676</v>
      </c>
      <c r="I66" s="7" t="s">
        <v>752</v>
      </c>
      <c r="J66" s="7" t="s">
        <v>792</v>
      </c>
      <c r="K66" s="7" t="str">
        <f>HYPERLINK("http://slimages.macys.com/is/image/MCY/17493343 ")</f>
        <v xml:space="preserve">http://slimages.macys.com/is/image/MCY/17493343 </v>
      </c>
    </row>
    <row r="67" spans="1:11" ht="20.100000000000001" customHeight="1" x14ac:dyDescent="0.25">
      <c r="A67" s="7" t="s">
        <v>963</v>
      </c>
      <c r="B67" s="20">
        <v>13815672</v>
      </c>
      <c r="C67" s="8">
        <v>83013283868</v>
      </c>
      <c r="D67" s="6" t="s">
        <v>1031</v>
      </c>
      <c r="E67" s="7">
        <v>2</v>
      </c>
      <c r="F67" s="9">
        <v>49.99</v>
      </c>
      <c r="G67" s="21">
        <v>99.98</v>
      </c>
      <c r="H67" s="7" t="s">
        <v>823</v>
      </c>
      <c r="I67" s="7" t="s">
        <v>689</v>
      </c>
      <c r="J67" s="7" t="s">
        <v>769</v>
      </c>
      <c r="K67" s="7" t="str">
        <f>HYPERLINK("http://slimages.macys.com/is/image/MCY/15800686 ")</f>
        <v xml:space="preserve">http://slimages.macys.com/is/image/MCY/15800686 </v>
      </c>
    </row>
    <row r="68" spans="1:11" ht="20.100000000000001" customHeight="1" x14ac:dyDescent="0.25">
      <c r="A68" s="7" t="s">
        <v>963</v>
      </c>
      <c r="B68" s="20">
        <v>13815672</v>
      </c>
      <c r="C68" s="8">
        <v>86569045034</v>
      </c>
      <c r="D68" s="6" t="s">
        <v>1032</v>
      </c>
      <c r="E68" s="7">
        <v>1</v>
      </c>
      <c r="F68" s="9">
        <v>174.99</v>
      </c>
      <c r="G68" s="21">
        <v>174.99</v>
      </c>
      <c r="H68" s="7" t="s">
        <v>668</v>
      </c>
      <c r="I68" s="7" t="s">
        <v>684</v>
      </c>
      <c r="J68" s="7" t="s">
        <v>679</v>
      </c>
      <c r="K68" s="7" t="str">
        <f>HYPERLINK("http://slimages.macys.com/is/image/MCY/10764757 ")</f>
        <v xml:space="preserve">http://slimages.macys.com/is/image/MCY/10764757 </v>
      </c>
    </row>
    <row r="69" spans="1:11" ht="20.100000000000001" customHeight="1" x14ac:dyDescent="0.25">
      <c r="A69" s="7" t="s">
        <v>963</v>
      </c>
      <c r="B69" s="20">
        <v>13815672</v>
      </c>
      <c r="C69" s="8">
        <v>86569047182</v>
      </c>
      <c r="D69" s="6" t="s">
        <v>1033</v>
      </c>
      <c r="E69" s="7">
        <v>1</v>
      </c>
      <c r="F69" s="9">
        <v>109.99</v>
      </c>
      <c r="G69" s="21">
        <v>109.99</v>
      </c>
      <c r="H69" s="7" t="s">
        <v>677</v>
      </c>
      <c r="I69" s="7" t="s">
        <v>736</v>
      </c>
      <c r="J69" s="7" t="s">
        <v>679</v>
      </c>
      <c r="K69" s="7" t="str">
        <f>HYPERLINK("http://slimages.macys.com/is/image/MCY/10139063 ")</f>
        <v xml:space="preserve">http://slimages.macys.com/is/image/MCY/10139063 </v>
      </c>
    </row>
    <row r="70" spans="1:11" ht="20.100000000000001" customHeight="1" x14ac:dyDescent="0.25">
      <c r="A70" s="7" t="s">
        <v>963</v>
      </c>
      <c r="B70" s="20">
        <v>13815672</v>
      </c>
      <c r="C70" s="8">
        <v>86569152862</v>
      </c>
      <c r="D70" s="6" t="s">
        <v>1034</v>
      </c>
      <c r="E70" s="7">
        <v>3</v>
      </c>
      <c r="F70" s="9">
        <v>44.99</v>
      </c>
      <c r="G70" s="21">
        <v>134.97</v>
      </c>
      <c r="H70" s="7" t="s">
        <v>784</v>
      </c>
      <c r="I70" s="7" t="s">
        <v>682</v>
      </c>
      <c r="J70" s="7" t="s">
        <v>679</v>
      </c>
      <c r="K70" s="7" t="str">
        <f>HYPERLINK("http://slimages.macys.com/is/image/MCY/11409030 ")</f>
        <v xml:space="preserve">http://slimages.macys.com/is/image/MCY/11409030 </v>
      </c>
    </row>
    <row r="71" spans="1:11" ht="20.100000000000001" customHeight="1" x14ac:dyDescent="0.25">
      <c r="A71" s="7" t="s">
        <v>963</v>
      </c>
      <c r="B71" s="20">
        <v>13815672</v>
      </c>
      <c r="C71" s="8">
        <v>86569170392</v>
      </c>
      <c r="D71" s="6" t="s">
        <v>1035</v>
      </c>
      <c r="E71" s="7">
        <v>1</v>
      </c>
      <c r="F71" s="9">
        <v>29.99</v>
      </c>
      <c r="G71" s="21">
        <v>29.99</v>
      </c>
      <c r="H71" s="7" t="s">
        <v>668</v>
      </c>
      <c r="I71" s="7" t="s">
        <v>682</v>
      </c>
      <c r="J71" s="7" t="s">
        <v>679</v>
      </c>
      <c r="K71" s="7" t="str">
        <f>HYPERLINK("http://slimages.macys.com/is/image/MCY/11703237 ")</f>
        <v xml:space="preserve">http://slimages.macys.com/is/image/MCY/11703237 </v>
      </c>
    </row>
    <row r="72" spans="1:11" ht="20.100000000000001" customHeight="1" x14ac:dyDescent="0.25">
      <c r="A72" s="7" t="s">
        <v>963</v>
      </c>
      <c r="B72" s="20">
        <v>13815672</v>
      </c>
      <c r="C72" s="8">
        <v>86569279729</v>
      </c>
      <c r="D72" s="6" t="s">
        <v>1036</v>
      </c>
      <c r="E72" s="7">
        <v>1</v>
      </c>
      <c r="F72" s="9">
        <v>109.99</v>
      </c>
      <c r="G72" s="21">
        <v>109.99</v>
      </c>
      <c r="H72" s="7" t="s">
        <v>708</v>
      </c>
      <c r="I72" s="7" t="s">
        <v>672</v>
      </c>
      <c r="J72" s="7" t="s">
        <v>679</v>
      </c>
      <c r="K72" s="7" t="str">
        <f>HYPERLINK("http://slimages.macys.com/is/image/MCY/14654906 ")</f>
        <v xml:space="preserve">http://slimages.macys.com/is/image/MCY/14654906 </v>
      </c>
    </row>
    <row r="73" spans="1:11" ht="20.100000000000001" customHeight="1" x14ac:dyDescent="0.25">
      <c r="A73" s="7" t="s">
        <v>963</v>
      </c>
      <c r="B73" s="20">
        <v>13815672</v>
      </c>
      <c r="C73" s="8">
        <v>86569296405</v>
      </c>
      <c r="D73" s="6" t="s">
        <v>1037</v>
      </c>
      <c r="E73" s="7">
        <v>3</v>
      </c>
      <c r="F73" s="9">
        <v>39.99</v>
      </c>
      <c r="G73" s="21">
        <v>119.97</v>
      </c>
      <c r="H73" s="7" t="s">
        <v>688</v>
      </c>
      <c r="I73" s="7" t="s">
        <v>674</v>
      </c>
      <c r="J73" s="7" t="s">
        <v>679</v>
      </c>
      <c r="K73" s="7" t="str">
        <f>HYPERLINK("http://slimages.macys.com/is/image/MCY/16396653 ")</f>
        <v xml:space="preserve">http://slimages.macys.com/is/image/MCY/16396653 </v>
      </c>
    </row>
    <row r="74" spans="1:11" ht="20.100000000000001" customHeight="1" x14ac:dyDescent="0.25">
      <c r="A74" s="7" t="s">
        <v>963</v>
      </c>
      <c r="B74" s="20">
        <v>13815672</v>
      </c>
      <c r="C74" s="8">
        <v>86569349156</v>
      </c>
      <c r="D74" s="6" t="s">
        <v>1038</v>
      </c>
      <c r="E74" s="7">
        <v>1</v>
      </c>
      <c r="F74" s="9">
        <v>109.99</v>
      </c>
      <c r="G74" s="21">
        <v>109.99</v>
      </c>
      <c r="H74" s="7" t="s">
        <v>671</v>
      </c>
      <c r="I74" s="7" t="s">
        <v>672</v>
      </c>
      <c r="J74" s="7" t="s">
        <v>679</v>
      </c>
      <c r="K74" s="7" t="str">
        <f>HYPERLINK("http://slimages.macys.com/is/image/MCY/16650276 ")</f>
        <v xml:space="preserve">http://slimages.macys.com/is/image/MCY/16650276 </v>
      </c>
    </row>
    <row r="75" spans="1:11" ht="20.100000000000001" customHeight="1" x14ac:dyDescent="0.25">
      <c r="A75" s="7" t="s">
        <v>963</v>
      </c>
      <c r="B75" s="20">
        <v>13815672</v>
      </c>
      <c r="C75" s="8">
        <v>86569363404</v>
      </c>
      <c r="D75" s="6" t="s">
        <v>1039</v>
      </c>
      <c r="E75" s="7">
        <v>1</v>
      </c>
      <c r="F75" s="9">
        <v>41.99</v>
      </c>
      <c r="G75" s="21">
        <v>41.99</v>
      </c>
      <c r="H75" s="7" t="s">
        <v>704</v>
      </c>
      <c r="I75" s="7" t="s">
        <v>730</v>
      </c>
      <c r="J75" s="7" t="s">
        <v>760</v>
      </c>
      <c r="K75" s="7" t="str">
        <f>HYPERLINK("http://slimages.macys.com/is/image/MCY/9489266 ")</f>
        <v xml:space="preserve">http://slimages.macys.com/is/image/MCY/9489266 </v>
      </c>
    </row>
    <row r="76" spans="1:11" ht="20.100000000000001" customHeight="1" x14ac:dyDescent="0.25">
      <c r="A76" s="7" t="s">
        <v>963</v>
      </c>
      <c r="B76" s="20">
        <v>13815672</v>
      </c>
      <c r="C76" s="8">
        <v>86569363428</v>
      </c>
      <c r="D76" s="6" t="s">
        <v>1040</v>
      </c>
      <c r="E76" s="7">
        <v>1</v>
      </c>
      <c r="F76" s="9">
        <v>35.99</v>
      </c>
      <c r="G76" s="21">
        <v>35.99</v>
      </c>
      <c r="H76" s="7" t="s">
        <v>677</v>
      </c>
      <c r="I76" s="7" t="s">
        <v>730</v>
      </c>
      <c r="J76" s="7" t="s">
        <v>760</v>
      </c>
      <c r="K76" s="7" t="str">
        <f>HYPERLINK("http://slimages.macys.com/is/image/MCY/9489266 ")</f>
        <v xml:space="preserve">http://slimages.macys.com/is/image/MCY/9489266 </v>
      </c>
    </row>
    <row r="77" spans="1:11" ht="20.100000000000001" customHeight="1" x14ac:dyDescent="0.25">
      <c r="A77" s="7" t="s">
        <v>963</v>
      </c>
      <c r="B77" s="20">
        <v>13815672</v>
      </c>
      <c r="C77" s="8">
        <v>86569363435</v>
      </c>
      <c r="D77" s="6" t="s">
        <v>1041</v>
      </c>
      <c r="E77" s="7">
        <v>1</v>
      </c>
      <c r="F77" s="9">
        <v>41.99</v>
      </c>
      <c r="G77" s="21">
        <v>41.99</v>
      </c>
      <c r="H77" s="7" t="s">
        <v>677</v>
      </c>
      <c r="I77" s="7" t="s">
        <v>730</v>
      </c>
      <c r="J77" s="7" t="s">
        <v>760</v>
      </c>
      <c r="K77" s="7" t="str">
        <f>HYPERLINK("http://slimages.macys.com/is/image/MCY/9489266 ")</f>
        <v xml:space="preserve">http://slimages.macys.com/is/image/MCY/9489266 </v>
      </c>
    </row>
    <row r="78" spans="1:11" ht="20.100000000000001" customHeight="1" x14ac:dyDescent="0.25">
      <c r="A78" s="7" t="s">
        <v>963</v>
      </c>
      <c r="B78" s="20">
        <v>13815672</v>
      </c>
      <c r="C78" s="8">
        <v>86569363466</v>
      </c>
      <c r="D78" s="6" t="s">
        <v>1042</v>
      </c>
      <c r="E78" s="7">
        <v>1</v>
      </c>
      <c r="F78" s="9">
        <v>41.99</v>
      </c>
      <c r="G78" s="21">
        <v>41.99</v>
      </c>
      <c r="H78" s="7" t="s">
        <v>744</v>
      </c>
      <c r="I78" s="7" t="s">
        <v>730</v>
      </c>
      <c r="J78" s="7" t="s">
        <v>760</v>
      </c>
      <c r="K78" s="7" t="str">
        <f>HYPERLINK("http://slimages.macys.com/is/image/MCY/9489266 ")</f>
        <v xml:space="preserve">http://slimages.macys.com/is/image/MCY/9489266 </v>
      </c>
    </row>
    <row r="79" spans="1:11" ht="20.100000000000001" customHeight="1" x14ac:dyDescent="0.25">
      <c r="A79" s="7" t="s">
        <v>963</v>
      </c>
      <c r="B79" s="20">
        <v>13815672</v>
      </c>
      <c r="C79" s="8">
        <v>86569363497</v>
      </c>
      <c r="D79" s="6" t="s">
        <v>1043</v>
      </c>
      <c r="E79" s="7">
        <v>2</v>
      </c>
      <c r="F79" s="9">
        <v>41.99</v>
      </c>
      <c r="G79" s="21">
        <v>83.98</v>
      </c>
      <c r="H79" s="7" t="s">
        <v>698</v>
      </c>
      <c r="I79" s="7" t="s">
        <v>730</v>
      </c>
      <c r="J79" s="7" t="s">
        <v>760</v>
      </c>
      <c r="K79" s="7" t="str">
        <f>HYPERLINK("http://slimages.macys.com/is/image/MCY/9489266 ")</f>
        <v xml:space="preserve">http://slimages.macys.com/is/image/MCY/9489266 </v>
      </c>
    </row>
    <row r="80" spans="1:11" ht="20.100000000000001" customHeight="1" x14ac:dyDescent="0.25">
      <c r="A80" s="7" t="s">
        <v>963</v>
      </c>
      <c r="B80" s="20">
        <v>13815672</v>
      </c>
      <c r="C80" s="8">
        <v>86569390431</v>
      </c>
      <c r="D80" s="6" t="s">
        <v>1044</v>
      </c>
      <c r="E80" s="7">
        <v>1</v>
      </c>
      <c r="F80" s="9">
        <v>149.99</v>
      </c>
      <c r="G80" s="21">
        <v>149.99</v>
      </c>
      <c r="H80" s="7" t="s">
        <v>668</v>
      </c>
      <c r="I80" s="7" t="s">
        <v>736</v>
      </c>
      <c r="J80" s="7" t="s">
        <v>679</v>
      </c>
      <c r="K80" s="7" t="str">
        <f>HYPERLINK("http://slimages.macys.com/is/image/MCY/17532077 ")</f>
        <v xml:space="preserve">http://slimages.macys.com/is/image/MCY/17532077 </v>
      </c>
    </row>
    <row r="81" spans="1:11" ht="20.100000000000001" customHeight="1" x14ac:dyDescent="0.25">
      <c r="A81" s="7" t="s">
        <v>963</v>
      </c>
      <c r="B81" s="20">
        <v>13815672</v>
      </c>
      <c r="C81" s="8">
        <v>86569497239</v>
      </c>
      <c r="D81" s="6" t="s">
        <v>1045</v>
      </c>
      <c r="E81" s="7">
        <v>1</v>
      </c>
      <c r="F81" s="9">
        <v>79.989999999999995</v>
      </c>
      <c r="G81" s="21">
        <v>79.989999999999995</v>
      </c>
      <c r="H81" s="7" t="s">
        <v>766</v>
      </c>
      <c r="I81" s="7" t="s">
        <v>672</v>
      </c>
      <c r="J81" s="7" t="s">
        <v>679</v>
      </c>
      <c r="K81" s="7" t="str">
        <f>HYPERLINK("http://slimages.macys.com/is/image/MCY/18974231 ")</f>
        <v xml:space="preserve">http://slimages.macys.com/is/image/MCY/18974231 </v>
      </c>
    </row>
    <row r="82" spans="1:11" ht="20.100000000000001" customHeight="1" x14ac:dyDescent="0.25">
      <c r="A82" s="7" t="s">
        <v>963</v>
      </c>
      <c r="B82" s="20">
        <v>13815672</v>
      </c>
      <c r="C82" s="8">
        <v>86569497314</v>
      </c>
      <c r="D82" s="6" t="s">
        <v>1046</v>
      </c>
      <c r="E82" s="7">
        <v>1</v>
      </c>
      <c r="F82" s="9">
        <v>79.989999999999995</v>
      </c>
      <c r="G82" s="21">
        <v>79.989999999999995</v>
      </c>
      <c r="H82" s="7" t="s">
        <v>766</v>
      </c>
      <c r="I82" s="7" t="s">
        <v>672</v>
      </c>
      <c r="J82" s="7" t="s">
        <v>679</v>
      </c>
      <c r="K82" s="7" t="str">
        <f>HYPERLINK("http://slimages.macys.com/is/image/MCY/18974231 ")</f>
        <v xml:space="preserve">http://slimages.macys.com/is/image/MCY/18974231 </v>
      </c>
    </row>
    <row r="83" spans="1:11" ht="20.100000000000001" customHeight="1" x14ac:dyDescent="0.25">
      <c r="A83" s="7" t="s">
        <v>963</v>
      </c>
      <c r="B83" s="20">
        <v>13815672</v>
      </c>
      <c r="C83" s="8">
        <v>86569896728</v>
      </c>
      <c r="D83" s="6" t="s">
        <v>1047</v>
      </c>
      <c r="E83" s="7">
        <v>2</v>
      </c>
      <c r="F83" s="9">
        <v>31.99</v>
      </c>
      <c r="G83" s="21">
        <v>63.98</v>
      </c>
      <c r="H83" s="7" t="s">
        <v>707</v>
      </c>
      <c r="I83" s="7" t="s">
        <v>674</v>
      </c>
      <c r="J83" s="7" t="s">
        <v>679</v>
      </c>
      <c r="K83" s="7" t="str">
        <f>HYPERLINK("http://slimages.macys.com/is/image/MCY/9613989 ")</f>
        <v xml:space="preserve">http://slimages.macys.com/is/image/MCY/9613989 </v>
      </c>
    </row>
    <row r="84" spans="1:11" ht="20.100000000000001" customHeight="1" x14ac:dyDescent="0.25">
      <c r="A84" s="7" t="s">
        <v>963</v>
      </c>
      <c r="B84" s="20">
        <v>13815672</v>
      </c>
      <c r="C84" s="8">
        <v>91116694450</v>
      </c>
      <c r="D84" s="6" t="s">
        <v>1048</v>
      </c>
      <c r="E84" s="7">
        <v>1</v>
      </c>
      <c r="F84" s="9">
        <v>18.989999999999998</v>
      </c>
      <c r="G84" s="21">
        <v>18.989999999999998</v>
      </c>
      <c r="H84" s="7" t="s">
        <v>775</v>
      </c>
      <c r="I84" s="7" t="s">
        <v>666</v>
      </c>
      <c r="J84" s="7" t="s">
        <v>929</v>
      </c>
      <c r="K84" s="7" t="str">
        <f>HYPERLINK("http://slimages.macys.com/is/image/MCY/3153811 ")</f>
        <v xml:space="preserve">http://slimages.macys.com/is/image/MCY/3153811 </v>
      </c>
    </row>
    <row r="85" spans="1:11" ht="20.100000000000001" customHeight="1" x14ac:dyDescent="0.25">
      <c r="A85" s="7" t="s">
        <v>963</v>
      </c>
      <c r="B85" s="20">
        <v>13815672</v>
      </c>
      <c r="C85" s="8">
        <v>91116694467</v>
      </c>
      <c r="D85" s="6" t="s">
        <v>1049</v>
      </c>
      <c r="E85" s="7">
        <v>1</v>
      </c>
      <c r="F85" s="9">
        <v>18.989999999999998</v>
      </c>
      <c r="G85" s="21">
        <v>18.989999999999998</v>
      </c>
      <c r="H85" s="7" t="s">
        <v>676</v>
      </c>
      <c r="I85" s="7" t="s">
        <v>666</v>
      </c>
      <c r="J85" s="7" t="s">
        <v>929</v>
      </c>
      <c r="K85" s="7" t="str">
        <f>HYPERLINK("http://slimages.macys.com/is/image/MCY/3153811 ")</f>
        <v xml:space="preserve">http://slimages.macys.com/is/image/MCY/3153811 </v>
      </c>
    </row>
    <row r="86" spans="1:11" ht="20.100000000000001" customHeight="1" x14ac:dyDescent="0.25">
      <c r="A86" s="7" t="s">
        <v>963</v>
      </c>
      <c r="B86" s="20">
        <v>13815672</v>
      </c>
      <c r="C86" s="8">
        <v>91116694863</v>
      </c>
      <c r="D86" s="6" t="s">
        <v>1050</v>
      </c>
      <c r="E86" s="7">
        <v>1</v>
      </c>
      <c r="F86" s="9">
        <v>18.989999999999998</v>
      </c>
      <c r="G86" s="21">
        <v>18.989999999999998</v>
      </c>
      <c r="H86" s="7" t="s">
        <v>740</v>
      </c>
      <c r="I86" s="7" t="s">
        <v>666</v>
      </c>
      <c r="J86" s="7" t="s">
        <v>929</v>
      </c>
      <c r="K86" s="7" t="str">
        <f>HYPERLINK("http://slimages.macys.com/is/image/MCY/3153811 ")</f>
        <v xml:space="preserve">http://slimages.macys.com/is/image/MCY/3153811 </v>
      </c>
    </row>
    <row r="87" spans="1:11" ht="20.100000000000001" customHeight="1" x14ac:dyDescent="0.25">
      <c r="A87" s="7" t="s">
        <v>963</v>
      </c>
      <c r="B87" s="20">
        <v>13815672</v>
      </c>
      <c r="C87" s="8">
        <v>91116722436</v>
      </c>
      <c r="D87" s="6" t="s">
        <v>1051</v>
      </c>
      <c r="E87" s="7">
        <v>1</v>
      </c>
      <c r="F87" s="9">
        <v>109.99</v>
      </c>
      <c r="G87" s="21">
        <v>109.99</v>
      </c>
      <c r="H87" s="7" t="s">
        <v>668</v>
      </c>
      <c r="I87" s="7" t="s">
        <v>672</v>
      </c>
      <c r="J87" s="7" t="s">
        <v>929</v>
      </c>
      <c r="K87" s="7" t="str">
        <f>HYPERLINK("http://slimages.macys.com/is/image/MCY/17390986 ")</f>
        <v xml:space="preserve">http://slimages.macys.com/is/image/MCY/17390986 </v>
      </c>
    </row>
    <row r="88" spans="1:11" ht="20.100000000000001" customHeight="1" x14ac:dyDescent="0.25">
      <c r="A88" s="7" t="s">
        <v>963</v>
      </c>
      <c r="B88" s="20">
        <v>13815672</v>
      </c>
      <c r="C88" s="8">
        <v>91116729527</v>
      </c>
      <c r="D88" s="6" t="s">
        <v>1052</v>
      </c>
      <c r="E88" s="7">
        <v>1</v>
      </c>
      <c r="F88" s="9">
        <v>18.989999999999998</v>
      </c>
      <c r="G88" s="21">
        <v>18.989999999999998</v>
      </c>
      <c r="H88" s="7" t="s">
        <v>704</v>
      </c>
      <c r="I88" s="7" t="s">
        <v>666</v>
      </c>
      <c r="J88" s="7" t="s">
        <v>929</v>
      </c>
      <c r="K88" s="7" t="str">
        <f>HYPERLINK("http://slimages.macys.com/is/image/MCY/3153811 ")</f>
        <v xml:space="preserve">http://slimages.macys.com/is/image/MCY/3153811 </v>
      </c>
    </row>
    <row r="89" spans="1:11" ht="20.100000000000001" customHeight="1" x14ac:dyDescent="0.25">
      <c r="A89" s="7" t="s">
        <v>963</v>
      </c>
      <c r="B89" s="20">
        <v>13815672</v>
      </c>
      <c r="C89" s="8">
        <v>91116729527</v>
      </c>
      <c r="D89" s="6" t="s">
        <v>1052</v>
      </c>
      <c r="E89" s="7">
        <v>1</v>
      </c>
      <c r="F89" s="9">
        <v>18.989999999999998</v>
      </c>
      <c r="G89" s="21">
        <v>18.989999999999998</v>
      </c>
      <c r="H89" s="7" t="s">
        <v>704</v>
      </c>
      <c r="I89" s="7" t="s">
        <v>666</v>
      </c>
      <c r="J89" s="7" t="s">
        <v>929</v>
      </c>
      <c r="K89" s="7" t="str">
        <f>HYPERLINK("http://slimages.macys.com/is/image/MCY/3153811 ")</f>
        <v xml:space="preserve">http://slimages.macys.com/is/image/MCY/3153811 </v>
      </c>
    </row>
    <row r="90" spans="1:11" ht="20.100000000000001" customHeight="1" x14ac:dyDescent="0.25">
      <c r="A90" s="7" t="s">
        <v>963</v>
      </c>
      <c r="B90" s="20">
        <v>13815672</v>
      </c>
      <c r="C90" s="8">
        <v>91116729589</v>
      </c>
      <c r="D90" s="6" t="s">
        <v>1053</v>
      </c>
      <c r="E90" s="7">
        <v>1</v>
      </c>
      <c r="F90" s="9">
        <v>18.989999999999998</v>
      </c>
      <c r="G90" s="21">
        <v>18.989999999999998</v>
      </c>
      <c r="H90" s="7"/>
      <c r="I90" s="7" t="s">
        <v>666</v>
      </c>
      <c r="J90" s="7" t="s">
        <v>929</v>
      </c>
      <c r="K90" s="7" t="str">
        <f>HYPERLINK("http://slimages.macys.com/is/image/MCY/3153811 ")</f>
        <v xml:space="preserve">http://slimages.macys.com/is/image/MCY/3153811 </v>
      </c>
    </row>
    <row r="91" spans="1:11" ht="20.100000000000001" customHeight="1" x14ac:dyDescent="0.25">
      <c r="A91" s="7" t="s">
        <v>963</v>
      </c>
      <c r="B91" s="20">
        <v>13815672</v>
      </c>
      <c r="C91" s="8">
        <v>96675170742</v>
      </c>
      <c r="D91" s="6" t="s">
        <v>1054</v>
      </c>
      <c r="E91" s="7">
        <v>1</v>
      </c>
      <c r="F91" s="9">
        <v>124.99</v>
      </c>
      <c r="G91" s="21">
        <v>124.99</v>
      </c>
      <c r="H91" s="7" t="s">
        <v>668</v>
      </c>
      <c r="I91" s="7" t="s">
        <v>669</v>
      </c>
      <c r="J91" s="7" t="s">
        <v>787</v>
      </c>
      <c r="K91" s="7" t="str">
        <f>HYPERLINK("http://slimages.macys.com/is/image/MCY/12076531 ")</f>
        <v xml:space="preserve">http://slimages.macys.com/is/image/MCY/12076531 </v>
      </c>
    </row>
    <row r="92" spans="1:11" ht="20.100000000000001" customHeight="1" x14ac:dyDescent="0.25">
      <c r="A92" s="7" t="s">
        <v>963</v>
      </c>
      <c r="B92" s="20">
        <v>13815672</v>
      </c>
      <c r="C92" s="8">
        <v>96675385207</v>
      </c>
      <c r="D92" s="6" t="s">
        <v>1055</v>
      </c>
      <c r="E92" s="7">
        <v>1</v>
      </c>
      <c r="F92" s="9">
        <v>30.99</v>
      </c>
      <c r="G92" s="21">
        <v>30.99</v>
      </c>
      <c r="H92" s="7" t="s">
        <v>668</v>
      </c>
      <c r="I92" s="7" t="s">
        <v>669</v>
      </c>
      <c r="J92" s="7" t="s">
        <v>787</v>
      </c>
      <c r="K92" s="7" t="str">
        <f>HYPERLINK("http://slimages.macys.com/is/image/MCY/10055890 ")</f>
        <v xml:space="preserve">http://slimages.macys.com/is/image/MCY/10055890 </v>
      </c>
    </row>
    <row r="93" spans="1:11" ht="20.100000000000001" customHeight="1" x14ac:dyDescent="0.25">
      <c r="A93" s="7" t="s">
        <v>963</v>
      </c>
      <c r="B93" s="20">
        <v>13815672</v>
      </c>
      <c r="C93" s="8">
        <v>96675467460</v>
      </c>
      <c r="D93" s="6" t="s">
        <v>1056</v>
      </c>
      <c r="E93" s="7">
        <v>1</v>
      </c>
      <c r="F93" s="9">
        <v>37.99</v>
      </c>
      <c r="G93" s="21">
        <v>37.99</v>
      </c>
      <c r="H93" s="7" t="s">
        <v>668</v>
      </c>
      <c r="I93" s="7" t="s">
        <v>669</v>
      </c>
      <c r="J93" s="7" t="s">
        <v>787</v>
      </c>
      <c r="K93" s="7" t="str">
        <f>HYPERLINK("http://slimages.macys.com/is/image/MCY/10055898 ")</f>
        <v xml:space="preserve">http://slimages.macys.com/is/image/MCY/10055898 </v>
      </c>
    </row>
    <row r="94" spans="1:11" ht="20.100000000000001" customHeight="1" x14ac:dyDescent="0.25">
      <c r="A94" s="7" t="s">
        <v>963</v>
      </c>
      <c r="B94" s="20">
        <v>13815672</v>
      </c>
      <c r="C94" s="8">
        <v>96675611344</v>
      </c>
      <c r="D94" s="6" t="s">
        <v>1057</v>
      </c>
      <c r="E94" s="7">
        <v>1</v>
      </c>
      <c r="F94" s="9">
        <v>179.99</v>
      </c>
      <c r="G94" s="21">
        <v>179.99</v>
      </c>
      <c r="H94" s="7" t="s">
        <v>668</v>
      </c>
      <c r="I94" s="7" t="s">
        <v>669</v>
      </c>
      <c r="J94" s="7" t="s">
        <v>787</v>
      </c>
      <c r="K94" s="7" t="str">
        <f>HYPERLINK("http://slimages.macys.com/is/image/MCY/15866429 ")</f>
        <v xml:space="preserve">http://slimages.macys.com/is/image/MCY/15866429 </v>
      </c>
    </row>
    <row r="95" spans="1:11" ht="20.100000000000001" customHeight="1" x14ac:dyDescent="0.25">
      <c r="A95" s="7" t="s">
        <v>963</v>
      </c>
      <c r="B95" s="20">
        <v>13815672</v>
      </c>
      <c r="C95" s="8">
        <v>96675615342</v>
      </c>
      <c r="D95" s="6" t="s">
        <v>1058</v>
      </c>
      <c r="E95" s="7">
        <v>1</v>
      </c>
      <c r="F95" s="9">
        <v>249.99</v>
      </c>
      <c r="G95" s="21">
        <v>249.99</v>
      </c>
      <c r="H95" s="7" t="s">
        <v>668</v>
      </c>
      <c r="I95" s="7" t="s">
        <v>669</v>
      </c>
      <c r="J95" s="7" t="s">
        <v>787</v>
      </c>
      <c r="K95" s="7" t="str">
        <f>HYPERLINK("http://slimages.macys.com/is/image/MCY/15866386 ")</f>
        <v xml:space="preserve">http://slimages.macys.com/is/image/MCY/15866386 </v>
      </c>
    </row>
    <row r="96" spans="1:11" ht="20.100000000000001" customHeight="1" x14ac:dyDescent="0.25">
      <c r="A96" s="7" t="s">
        <v>963</v>
      </c>
      <c r="B96" s="20">
        <v>13815672</v>
      </c>
      <c r="C96" s="8">
        <v>96675639621</v>
      </c>
      <c r="D96" s="6" t="s">
        <v>1059</v>
      </c>
      <c r="E96" s="7">
        <v>1</v>
      </c>
      <c r="F96" s="9">
        <v>44.99</v>
      </c>
      <c r="G96" s="21">
        <v>44.99</v>
      </c>
      <c r="H96" s="7" t="s">
        <v>668</v>
      </c>
      <c r="I96" s="7" t="s">
        <v>669</v>
      </c>
      <c r="J96" s="7" t="s">
        <v>787</v>
      </c>
      <c r="K96" s="7" t="str">
        <f>HYPERLINK("http://slimages.macys.com/is/image/MCY/3201358 ")</f>
        <v xml:space="preserve">http://slimages.macys.com/is/image/MCY/3201358 </v>
      </c>
    </row>
    <row r="97" spans="1:11" ht="20.100000000000001" customHeight="1" x14ac:dyDescent="0.25">
      <c r="A97" s="7" t="s">
        <v>963</v>
      </c>
      <c r="B97" s="20">
        <v>13815672</v>
      </c>
      <c r="C97" s="8">
        <v>96675639768</v>
      </c>
      <c r="D97" s="6" t="s">
        <v>805</v>
      </c>
      <c r="E97" s="7">
        <v>1</v>
      </c>
      <c r="F97" s="9">
        <v>29.99</v>
      </c>
      <c r="G97" s="21">
        <v>29.99</v>
      </c>
      <c r="H97" s="7" t="s">
        <v>668</v>
      </c>
      <c r="I97" s="7" t="s">
        <v>669</v>
      </c>
      <c r="J97" s="7" t="s">
        <v>787</v>
      </c>
      <c r="K97" s="7" t="str">
        <f>HYPERLINK("http://slimages.macys.com/is/image/MCY/3181504 ")</f>
        <v xml:space="preserve">http://slimages.macys.com/is/image/MCY/3181504 </v>
      </c>
    </row>
    <row r="98" spans="1:11" ht="20.100000000000001" customHeight="1" x14ac:dyDescent="0.25">
      <c r="A98" s="7" t="s">
        <v>963</v>
      </c>
      <c r="B98" s="20">
        <v>13815672</v>
      </c>
      <c r="C98" s="8">
        <v>96675700819</v>
      </c>
      <c r="D98" s="6" t="s">
        <v>786</v>
      </c>
      <c r="E98" s="7">
        <v>1</v>
      </c>
      <c r="F98" s="9">
        <v>59.99</v>
      </c>
      <c r="G98" s="21">
        <v>59.99</v>
      </c>
      <c r="H98" s="7" t="s">
        <v>668</v>
      </c>
      <c r="I98" s="7" t="s">
        <v>669</v>
      </c>
      <c r="J98" s="7" t="s">
        <v>787</v>
      </c>
      <c r="K98" s="7" t="str">
        <f>HYPERLINK("http://slimages.macys.com/is/image/MCY/11443707 ")</f>
        <v xml:space="preserve">http://slimages.macys.com/is/image/MCY/11443707 </v>
      </c>
    </row>
    <row r="99" spans="1:11" ht="20.100000000000001" customHeight="1" x14ac:dyDescent="0.25">
      <c r="A99" s="7" t="s">
        <v>963</v>
      </c>
      <c r="B99" s="20">
        <v>13815672</v>
      </c>
      <c r="C99" s="8">
        <v>96675809079</v>
      </c>
      <c r="D99" s="6" t="s">
        <v>921</v>
      </c>
      <c r="E99" s="7">
        <v>1</v>
      </c>
      <c r="F99" s="9">
        <v>19.989999999999998</v>
      </c>
      <c r="G99" s="21">
        <v>19.989999999999998</v>
      </c>
      <c r="H99" s="7" t="s">
        <v>668</v>
      </c>
      <c r="I99" s="7" t="s">
        <v>669</v>
      </c>
      <c r="J99" s="7" t="s">
        <v>787</v>
      </c>
      <c r="K99" s="7" t="str">
        <f>HYPERLINK("http://images.bloomingdales.com/is/image/BLM/10919359 ")</f>
        <v xml:space="preserve">http://images.bloomingdales.com/is/image/BLM/10919359 </v>
      </c>
    </row>
    <row r="100" spans="1:11" ht="20.100000000000001" customHeight="1" x14ac:dyDescent="0.25">
      <c r="A100" s="7" t="s">
        <v>963</v>
      </c>
      <c r="B100" s="20">
        <v>13815672</v>
      </c>
      <c r="C100" s="8">
        <v>96675810549</v>
      </c>
      <c r="D100" s="6" t="s">
        <v>1060</v>
      </c>
      <c r="E100" s="7">
        <v>1</v>
      </c>
      <c r="F100" s="9">
        <v>187.99</v>
      </c>
      <c r="G100" s="21">
        <v>187.99</v>
      </c>
      <c r="H100" s="7" t="s">
        <v>708</v>
      </c>
      <c r="I100" s="7" t="s">
        <v>669</v>
      </c>
      <c r="J100" s="7" t="s">
        <v>787</v>
      </c>
      <c r="K100" s="7" t="str">
        <f>HYPERLINK("http://slimages.macys.com/is/image/MCY/10055975 ")</f>
        <v xml:space="preserve">http://slimages.macys.com/is/image/MCY/10055975 </v>
      </c>
    </row>
    <row r="101" spans="1:11" ht="20.100000000000001" customHeight="1" x14ac:dyDescent="0.25">
      <c r="A101" s="7" t="s">
        <v>963</v>
      </c>
      <c r="B101" s="20">
        <v>13815672</v>
      </c>
      <c r="C101" s="8">
        <v>190733076875</v>
      </c>
      <c r="D101" s="6" t="s">
        <v>1061</v>
      </c>
      <c r="E101" s="7">
        <v>2</v>
      </c>
      <c r="F101" s="9">
        <v>81.99</v>
      </c>
      <c r="G101" s="21">
        <v>163.98</v>
      </c>
      <c r="H101" s="7" t="s">
        <v>671</v>
      </c>
      <c r="I101" s="7" t="s">
        <v>752</v>
      </c>
      <c r="J101" s="7" t="s">
        <v>818</v>
      </c>
      <c r="K101" s="7" t="str">
        <f>HYPERLINK("http://slimages.macys.com/is/image/MCY/15201889 ")</f>
        <v xml:space="preserve">http://slimages.macys.com/is/image/MCY/15201889 </v>
      </c>
    </row>
    <row r="102" spans="1:11" ht="20.100000000000001" customHeight="1" x14ac:dyDescent="0.25">
      <c r="A102" s="7" t="s">
        <v>963</v>
      </c>
      <c r="B102" s="20">
        <v>13815672</v>
      </c>
      <c r="C102" s="8">
        <v>191790023536</v>
      </c>
      <c r="D102" s="6" t="s">
        <v>1062</v>
      </c>
      <c r="E102" s="7">
        <v>2</v>
      </c>
      <c r="F102" s="9">
        <v>49.99</v>
      </c>
      <c r="G102" s="21">
        <v>99.98</v>
      </c>
      <c r="H102" s="7" t="s">
        <v>766</v>
      </c>
      <c r="I102" s="7" t="s">
        <v>666</v>
      </c>
      <c r="J102" s="7" t="s">
        <v>706</v>
      </c>
      <c r="K102" s="7" t="str">
        <f>HYPERLINK("http://slimages.macys.com/is/image/MCY/12658743 ")</f>
        <v xml:space="preserve">http://slimages.macys.com/is/image/MCY/12658743 </v>
      </c>
    </row>
    <row r="103" spans="1:11" ht="20.100000000000001" customHeight="1" x14ac:dyDescent="0.25">
      <c r="A103" s="7" t="s">
        <v>963</v>
      </c>
      <c r="B103" s="20">
        <v>13815672</v>
      </c>
      <c r="C103" s="8">
        <v>191790028845</v>
      </c>
      <c r="D103" s="6" t="s">
        <v>1063</v>
      </c>
      <c r="E103" s="7">
        <v>1</v>
      </c>
      <c r="F103" s="9">
        <v>59.99</v>
      </c>
      <c r="G103" s="21">
        <v>59.99</v>
      </c>
      <c r="H103" s="7" t="s">
        <v>676</v>
      </c>
      <c r="I103" s="7" t="s">
        <v>666</v>
      </c>
      <c r="J103" s="7" t="s">
        <v>706</v>
      </c>
      <c r="K103" s="7" t="str">
        <f>HYPERLINK("http://slimages.macys.com/is/image/MCY/15390117 ")</f>
        <v xml:space="preserve">http://slimages.macys.com/is/image/MCY/15390117 </v>
      </c>
    </row>
    <row r="104" spans="1:11" ht="20.100000000000001" customHeight="1" x14ac:dyDescent="0.25">
      <c r="A104" s="7" t="s">
        <v>963</v>
      </c>
      <c r="B104" s="20">
        <v>13815672</v>
      </c>
      <c r="C104" s="8">
        <v>193842103869</v>
      </c>
      <c r="D104" s="6" t="s">
        <v>1064</v>
      </c>
      <c r="E104" s="7">
        <v>2</v>
      </c>
      <c r="F104" s="9">
        <v>49.99</v>
      </c>
      <c r="G104" s="21">
        <v>99.98</v>
      </c>
      <c r="H104" s="7" t="s">
        <v>768</v>
      </c>
      <c r="I104" s="7" t="s">
        <v>689</v>
      </c>
      <c r="J104" s="7" t="s">
        <v>690</v>
      </c>
      <c r="K104" s="7" t="str">
        <f>HYPERLINK("http://slimages.macys.com/is/image/MCY/17136232 ")</f>
        <v xml:space="preserve">http://slimages.macys.com/is/image/MCY/17136232 </v>
      </c>
    </row>
    <row r="105" spans="1:11" ht="20.100000000000001" customHeight="1" x14ac:dyDescent="0.25">
      <c r="A105" s="7" t="s">
        <v>963</v>
      </c>
      <c r="B105" s="20">
        <v>13815672</v>
      </c>
      <c r="C105" s="8">
        <v>194189207425</v>
      </c>
      <c r="D105" s="6" t="s">
        <v>1065</v>
      </c>
      <c r="E105" s="7">
        <v>1</v>
      </c>
      <c r="F105" s="9">
        <v>27.99</v>
      </c>
      <c r="G105" s="21">
        <v>27.99</v>
      </c>
      <c r="H105" s="7" t="s">
        <v>799</v>
      </c>
      <c r="I105" s="7" t="s">
        <v>674</v>
      </c>
      <c r="J105" s="7" t="s">
        <v>136</v>
      </c>
      <c r="K105" s="7" t="str">
        <f>HYPERLINK("http://slimages.macys.com/is/image/MCY/14905586 ")</f>
        <v xml:space="preserve">http://slimages.macys.com/is/image/MCY/14905586 </v>
      </c>
    </row>
    <row r="106" spans="1:11" ht="20.100000000000001" customHeight="1" x14ac:dyDescent="0.25">
      <c r="A106" s="7" t="s">
        <v>963</v>
      </c>
      <c r="B106" s="20">
        <v>13815672</v>
      </c>
      <c r="C106" s="8">
        <v>194590009625</v>
      </c>
      <c r="D106" s="6" t="s">
        <v>1066</v>
      </c>
      <c r="E106" s="7">
        <v>10</v>
      </c>
      <c r="F106" s="9">
        <v>49.99</v>
      </c>
      <c r="G106" s="21">
        <v>499.9</v>
      </c>
      <c r="H106" s="7" t="s">
        <v>676</v>
      </c>
      <c r="I106" s="7" t="s">
        <v>674</v>
      </c>
      <c r="J106" s="7" t="s">
        <v>699</v>
      </c>
      <c r="K106" s="7" t="str">
        <f>HYPERLINK("http://slimages.macys.com/is/image/MCY/17675923 ")</f>
        <v xml:space="preserve">http://slimages.macys.com/is/image/MCY/17675923 </v>
      </c>
    </row>
    <row r="107" spans="1:11" ht="20.100000000000001" customHeight="1" x14ac:dyDescent="0.25">
      <c r="A107" s="7" t="s">
        <v>963</v>
      </c>
      <c r="B107" s="20">
        <v>13815672</v>
      </c>
      <c r="C107" s="8">
        <v>601706685678</v>
      </c>
      <c r="D107" s="6" t="s">
        <v>1067</v>
      </c>
      <c r="E107" s="7">
        <v>1</v>
      </c>
      <c r="F107" s="9">
        <v>25.99</v>
      </c>
      <c r="G107" s="21">
        <v>25.99</v>
      </c>
      <c r="H107" s="7" t="s">
        <v>671</v>
      </c>
      <c r="I107" s="7" t="s">
        <v>752</v>
      </c>
      <c r="J107" s="7" t="s">
        <v>818</v>
      </c>
      <c r="K107" s="7" t="str">
        <f>HYPERLINK("http://slimages.macys.com/is/image/MCY/10752490 ")</f>
        <v xml:space="preserve">http://slimages.macys.com/is/image/MCY/10752490 </v>
      </c>
    </row>
    <row r="108" spans="1:11" ht="20.100000000000001" customHeight="1" x14ac:dyDescent="0.25">
      <c r="A108" s="7" t="s">
        <v>963</v>
      </c>
      <c r="B108" s="20">
        <v>13815672</v>
      </c>
      <c r="C108" s="8">
        <v>608356694197</v>
      </c>
      <c r="D108" s="6" t="s">
        <v>1068</v>
      </c>
      <c r="E108" s="7">
        <v>1</v>
      </c>
      <c r="F108" s="9">
        <v>9.99</v>
      </c>
      <c r="G108" s="21">
        <v>9.99</v>
      </c>
      <c r="H108" s="7" t="s">
        <v>807</v>
      </c>
      <c r="I108" s="7" t="s">
        <v>694</v>
      </c>
      <c r="J108" s="7" t="s">
        <v>825</v>
      </c>
      <c r="K108" s="7" t="str">
        <f>HYPERLINK("http://slimages.macys.com/is/image/MCY/12067377 ")</f>
        <v xml:space="preserve">http://slimages.macys.com/is/image/MCY/12067377 </v>
      </c>
    </row>
    <row r="109" spans="1:11" ht="20.100000000000001" customHeight="1" x14ac:dyDescent="0.25">
      <c r="A109" s="7" t="s">
        <v>963</v>
      </c>
      <c r="B109" s="20">
        <v>13815672</v>
      </c>
      <c r="C109" s="8">
        <v>610406820272</v>
      </c>
      <c r="D109" s="6" t="s">
        <v>1069</v>
      </c>
      <c r="E109" s="7">
        <v>1</v>
      </c>
      <c r="F109" s="9">
        <v>36.99</v>
      </c>
      <c r="G109" s="21">
        <v>36.99</v>
      </c>
      <c r="H109" s="7" t="s">
        <v>771</v>
      </c>
      <c r="I109" s="7" t="s">
        <v>674</v>
      </c>
      <c r="J109" s="7" t="s">
        <v>804</v>
      </c>
      <c r="K109" s="7" t="str">
        <f>HYPERLINK("http://slimages.macys.com/is/image/MCY/16368076 ")</f>
        <v xml:space="preserve">http://slimages.macys.com/is/image/MCY/16368076 </v>
      </c>
    </row>
    <row r="110" spans="1:11" ht="20.100000000000001" customHeight="1" x14ac:dyDescent="0.25">
      <c r="A110" s="7" t="s">
        <v>963</v>
      </c>
      <c r="B110" s="20">
        <v>13815672</v>
      </c>
      <c r="C110" s="8">
        <v>610406820296</v>
      </c>
      <c r="D110" s="6" t="s">
        <v>1070</v>
      </c>
      <c r="E110" s="7">
        <v>1</v>
      </c>
      <c r="F110" s="9">
        <v>36.99</v>
      </c>
      <c r="G110" s="21">
        <v>36.99</v>
      </c>
      <c r="H110" s="7" t="s">
        <v>833</v>
      </c>
      <c r="I110" s="7" t="s">
        <v>674</v>
      </c>
      <c r="J110" s="7" t="s">
        <v>804</v>
      </c>
      <c r="K110" s="7" t="str">
        <f>HYPERLINK("http://slimages.macys.com/is/image/MCY/16368076 ")</f>
        <v xml:space="preserve">http://slimages.macys.com/is/image/MCY/16368076 </v>
      </c>
    </row>
    <row r="111" spans="1:11" ht="20.100000000000001" customHeight="1" x14ac:dyDescent="0.25">
      <c r="A111" s="7" t="s">
        <v>963</v>
      </c>
      <c r="B111" s="20">
        <v>13815672</v>
      </c>
      <c r="C111" s="8">
        <v>633125822242</v>
      </c>
      <c r="D111" s="6" t="s">
        <v>1071</v>
      </c>
      <c r="E111" s="7">
        <v>1</v>
      </c>
      <c r="F111" s="9">
        <v>20.99</v>
      </c>
      <c r="G111" s="21">
        <v>20.99</v>
      </c>
      <c r="H111" s="7" t="s">
        <v>668</v>
      </c>
      <c r="I111" s="7" t="s">
        <v>682</v>
      </c>
      <c r="J111" s="7" t="s">
        <v>831</v>
      </c>
      <c r="K111" s="7" t="str">
        <f>HYPERLINK("http://slimages.macys.com/is/image/MCY/17787512 ")</f>
        <v xml:space="preserve">http://slimages.macys.com/is/image/MCY/17787512 </v>
      </c>
    </row>
    <row r="112" spans="1:11" ht="20.100000000000001" customHeight="1" x14ac:dyDescent="0.25">
      <c r="A112" s="7" t="s">
        <v>963</v>
      </c>
      <c r="B112" s="20">
        <v>13815672</v>
      </c>
      <c r="C112" s="8">
        <v>635983499604</v>
      </c>
      <c r="D112" s="6" t="s">
        <v>1072</v>
      </c>
      <c r="E112" s="7">
        <v>1</v>
      </c>
      <c r="F112" s="9">
        <v>69.989999999999995</v>
      </c>
      <c r="G112" s="21">
        <v>69.989999999999995</v>
      </c>
      <c r="H112" s="7" t="s">
        <v>668</v>
      </c>
      <c r="I112" s="7" t="s">
        <v>669</v>
      </c>
      <c r="J112" s="7" t="s">
        <v>670</v>
      </c>
      <c r="K112" s="7" t="str">
        <f>HYPERLINK("http://slimages.macys.com/is/image/MCY/11798190 ")</f>
        <v xml:space="preserve">http://slimages.macys.com/is/image/MCY/11798190 </v>
      </c>
    </row>
    <row r="113" spans="1:11" ht="20.100000000000001" customHeight="1" x14ac:dyDescent="0.25">
      <c r="A113" s="7" t="s">
        <v>963</v>
      </c>
      <c r="B113" s="20">
        <v>13815672</v>
      </c>
      <c r="C113" s="8">
        <v>635983499611</v>
      </c>
      <c r="D113" s="6" t="s">
        <v>667</v>
      </c>
      <c r="E113" s="7">
        <v>1</v>
      </c>
      <c r="F113" s="9">
        <v>79.989999999999995</v>
      </c>
      <c r="G113" s="21">
        <v>79.989999999999995</v>
      </c>
      <c r="H113" s="7" t="s">
        <v>668</v>
      </c>
      <c r="I113" s="7" t="s">
        <v>669</v>
      </c>
      <c r="J113" s="7" t="s">
        <v>670</v>
      </c>
      <c r="K113" s="7" t="str">
        <f>HYPERLINK("http://slimages.macys.com/is/image/MCY/11798194 ")</f>
        <v xml:space="preserve">http://slimages.macys.com/is/image/MCY/11798194 </v>
      </c>
    </row>
    <row r="114" spans="1:11" ht="20.100000000000001" customHeight="1" x14ac:dyDescent="0.25">
      <c r="A114" s="7" t="s">
        <v>963</v>
      </c>
      <c r="B114" s="20">
        <v>13815672</v>
      </c>
      <c r="C114" s="8">
        <v>636202045398</v>
      </c>
      <c r="D114" s="6" t="s">
        <v>822</v>
      </c>
      <c r="E114" s="7">
        <v>1</v>
      </c>
      <c r="F114" s="9">
        <v>24.99</v>
      </c>
      <c r="G114" s="21">
        <v>24.99</v>
      </c>
      <c r="H114" s="7" t="s">
        <v>807</v>
      </c>
      <c r="I114" s="7" t="s">
        <v>694</v>
      </c>
      <c r="J114" s="7" t="s">
        <v>695</v>
      </c>
      <c r="K114" s="7" t="str">
        <f>HYPERLINK("http://slimages.macys.com/is/image/MCY/14322102 ")</f>
        <v xml:space="preserve">http://slimages.macys.com/is/image/MCY/14322102 </v>
      </c>
    </row>
    <row r="115" spans="1:11" ht="20.100000000000001" customHeight="1" x14ac:dyDescent="0.25">
      <c r="A115" s="7" t="s">
        <v>963</v>
      </c>
      <c r="B115" s="20">
        <v>13815672</v>
      </c>
      <c r="C115" s="8">
        <v>636206070525</v>
      </c>
      <c r="D115" s="6" t="s">
        <v>1073</v>
      </c>
      <c r="E115" s="7">
        <v>2</v>
      </c>
      <c r="F115" s="9">
        <v>249.99</v>
      </c>
      <c r="G115" s="21">
        <v>499.98</v>
      </c>
      <c r="H115" s="7" t="s">
        <v>698</v>
      </c>
      <c r="I115" s="7" t="s">
        <v>680</v>
      </c>
      <c r="J115" s="7" t="s">
        <v>733</v>
      </c>
      <c r="K115" s="7" t="str">
        <f>HYPERLINK("http://slimages.macys.com/is/image/MCY/10467368 ")</f>
        <v xml:space="preserve">http://slimages.macys.com/is/image/MCY/10467368 </v>
      </c>
    </row>
    <row r="116" spans="1:11" ht="20.100000000000001" customHeight="1" x14ac:dyDescent="0.25">
      <c r="A116" s="7" t="s">
        <v>963</v>
      </c>
      <c r="B116" s="20">
        <v>13815672</v>
      </c>
      <c r="C116" s="8">
        <v>636206071430</v>
      </c>
      <c r="D116" s="6" t="s">
        <v>950</v>
      </c>
      <c r="E116" s="7">
        <v>1</v>
      </c>
      <c r="F116" s="9">
        <v>69.989999999999995</v>
      </c>
      <c r="G116" s="21">
        <v>69.989999999999995</v>
      </c>
      <c r="H116" s="7" t="s">
        <v>732</v>
      </c>
      <c r="I116" s="7" t="s">
        <v>680</v>
      </c>
      <c r="J116" s="7" t="s">
        <v>733</v>
      </c>
      <c r="K116" s="7" t="str">
        <f>HYPERLINK("http://slimages.macys.com/is/image/MCY/10468088 ")</f>
        <v xml:space="preserve">http://slimages.macys.com/is/image/MCY/10468088 </v>
      </c>
    </row>
    <row r="117" spans="1:11" ht="20.100000000000001" customHeight="1" x14ac:dyDescent="0.25">
      <c r="A117" s="7" t="s">
        <v>963</v>
      </c>
      <c r="B117" s="20">
        <v>13815672</v>
      </c>
      <c r="C117" s="8">
        <v>636206071485</v>
      </c>
      <c r="D117" s="6" t="s">
        <v>830</v>
      </c>
      <c r="E117" s="7">
        <v>1</v>
      </c>
      <c r="F117" s="9">
        <v>79.989999999999995</v>
      </c>
      <c r="G117" s="21">
        <v>79.989999999999995</v>
      </c>
      <c r="H117" s="7" t="s">
        <v>732</v>
      </c>
      <c r="I117" s="7" t="s">
        <v>680</v>
      </c>
      <c r="J117" s="7" t="s">
        <v>733</v>
      </c>
      <c r="K117" s="7" t="str">
        <f>HYPERLINK("http://slimages.macys.com/is/image/MCY/10468085 ")</f>
        <v xml:space="preserve">http://slimages.macys.com/is/image/MCY/10468085 </v>
      </c>
    </row>
    <row r="118" spans="1:11" ht="20.100000000000001" customHeight="1" x14ac:dyDescent="0.25">
      <c r="A118" s="7" t="s">
        <v>963</v>
      </c>
      <c r="B118" s="20">
        <v>13815672</v>
      </c>
      <c r="C118" s="8">
        <v>636206071744</v>
      </c>
      <c r="D118" s="6" t="s">
        <v>854</v>
      </c>
      <c r="E118" s="7">
        <v>1</v>
      </c>
      <c r="F118" s="9">
        <v>249.99</v>
      </c>
      <c r="G118" s="21">
        <v>249.99</v>
      </c>
      <c r="H118" s="7" t="s">
        <v>698</v>
      </c>
      <c r="I118" s="7" t="s">
        <v>680</v>
      </c>
      <c r="J118" s="7" t="s">
        <v>733</v>
      </c>
      <c r="K118" s="7" t="str">
        <f>HYPERLINK("http://slimages.macys.com/is/image/MCY/10467368 ")</f>
        <v xml:space="preserve">http://slimages.macys.com/is/image/MCY/10467368 </v>
      </c>
    </row>
    <row r="119" spans="1:11" ht="20.100000000000001" customHeight="1" x14ac:dyDescent="0.25">
      <c r="A119" s="7" t="s">
        <v>963</v>
      </c>
      <c r="B119" s="20">
        <v>13815672</v>
      </c>
      <c r="C119" s="8">
        <v>646998692638</v>
      </c>
      <c r="D119" s="6" t="s">
        <v>1074</v>
      </c>
      <c r="E119" s="7">
        <v>2</v>
      </c>
      <c r="F119" s="9">
        <v>88.99</v>
      </c>
      <c r="G119" s="21">
        <v>177.98</v>
      </c>
      <c r="H119" s="7" t="s">
        <v>745</v>
      </c>
      <c r="I119" s="7" t="s">
        <v>674</v>
      </c>
      <c r="J119" s="7" t="s">
        <v>738</v>
      </c>
      <c r="K119" s="7" t="str">
        <f>HYPERLINK("http://slimages.macys.com/is/image/MCY/16494316 ")</f>
        <v xml:space="preserve">http://slimages.macys.com/is/image/MCY/16494316 </v>
      </c>
    </row>
    <row r="120" spans="1:11" ht="20.100000000000001" customHeight="1" x14ac:dyDescent="0.25">
      <c r="A120" s="7" t="s">
        <v>963</v>
      </c>
      <c r="B120" s="20">
        <v>13815672</v>
      </c>
      <c r="C120" s="8">
        <v>651896652059</v>
      </c>
      <c r="D120" s="6" t="s">
        <v>1075</v>
      </c>
      <c r="E120" s="7">
        <v>1</v>
      </c>
      <c r="F120" s="9">
        <v>9.99</v>
      </c>
      <c r="G120" s="21">
        <v>9.99</v>
      </c>
      <c r="H120" s="7" t="s">
        <v>676</v>
      </c>
      <c r="I120" s="7" t="s">
        <v>674</v>
      </c>
      <c r="J120" s="7" t="s">
        <v>927</v>
      </c>
      <c r="K120" s="7" t="str">
        <f>HYPERLINK("http://slimages.macys.com/is/image/MCY/18614219 ")</f>
        <v xml:space="preserve">http://slimages.macys.com/is/image/MCY/18614219 </v>
      </c>
    </row>
    <row r="121" spans="1:11" ht="20.100000000000001" customHeight="1" x14ac:dyDescent="0.25">
      <c r="A121" s="7" t="s">
        <v>963</v>
      </c>
      <c r="B121" s="20">
        <v>13815672</v>
      </c>
      <c r="C121" s="8">
        <v>675716438890</v>
      </c>
      <c r="D121" s="6" t="s">
        <v>1076</v>
      </c>
      <c r="E121" s="7">
        <v>1</v>
      </c>
      <c r="F121" s="9">
        <v>134.99</v>
      </c>
      <c r="G121" s="21">
        <v>134.99</v>
      </c>
      <c r="H121" s="7" t="s">
        <v>708</v>
      </c>
      <c r="I121" s="7" t="s">
        <v>672</v>
      </c>
      <c r="J121" s="7" t="s">
        <v>679</v>
      </c>
      <c r="K121" s="7" t="str">
        <f>HYPERLINK("http://slimages.macys.com/is/image/MCY/9627797 ")</f>
        <v xml:space="preserve">http://slimages.macys.com/is/image/MCY/9627797 </v>
      </c>
    </row>
    <row r="122" spans="1:11" ht="20.100000000000001" customHeight="1" x14ac:dyDescent="0.25">
      <c r="A122" s="7" t="s">
        <v>963</v>
      </c>
      <c r="B122" s="20">
        <v>13815672</v>
      </c>
      <c r="C122" s="8">
        <v>675716586065</v>
      </c>
      <c r="D122" s="6" t="s">
        <v>1077</v>
      </c>
      <c r="E122" s="7">
        <v>1</v>
      </c>
      <c r="F122" s="9">
        <v>24.99</v>
      </c>
      <c r="G122" s="21">
        <v>24.99</v>
      </c>
      <c r="H122" s="7" t="s">
        <v>745</v>
      </c>
      <c r="I122" s="7" t="s">
        <v>736</v>
      </c>
      <c r="J122" s="7" t="s">
        <v>832</v>
      </c>
      <c r="K122" s="7" t="str">
        <f>HYPERLINK("http://slimages.macys.com/is/image/MCY/2861128 ")</f>
        <v xml:space="preserve">http://slimages.macys.com/is/image/MCY/2861128 </v>
      </c>
    </row>
    <row r="123" spans="1:11" ht="20.100000000000001" customHeight="1" x14ac:dyDescent="0.25">
      <c r="A123" s="7" t="s">
        <v>963</v>
      </c>
      <c r="B123" s="20">
        <v>13815672</v>
      </c>
      <c r="C123" s="8">
        <v>675716638139</v>
      </c>
      <c r="D123" s="6" t="s">
        <v>1078</v>
      </c>
      <c r="E123" s="7">
        <v>1</v>
      </c>
      <c r="F123" s="9">
        <v>54.99</v>
      </c>
      <c r="G123" s="21">
        <v>54.99</v>
      </c>
      <c r="H123" s="7" t="s">
        <v>668</v>
      </c>
      <c r="I123" s="7" t="s">
        <v>736</v>
      </c>
      <c r="J123" s="7" t="s">
        <v>679</v>
      </c>
      <c r="K123" s="7" t="str">
        <f>HYPERLINK("http://slimages.macys.com/is/image/MCY/9115090 ")</f>
        <v xml:space="preserve">http://slimages.macys.com/is/image/MCY/9115090 </v>
      </c>
    </row>
    <row r="124" spans="1:11" ht="20.100000000000001" customHeight="1" x14ac:dyDescent="0.25">
      <c r="A124" s="7" t="s">
        <v>963</v>
      </c>
      <c r="B124" s="20">
        <v>13815672</v>
      </c>
      <c r="C124" s="8">
        <v>675716772574</v>
      </c>
      <c r="D124" s="6" t="s">
        <v>1079</v>
      </c>
      <c r="E124" s="7">
        <v>1</v>
      </c>
      <c r="F124" s="9">
        <v>19.989999999999998</v>
      </c>
      <c r="G124" s="21">
        <v>19.989999999999998</v>
      </c>
      <c r="H124" s="7" t="s">
        <v>708</v>
      </c>
      <c r="I124" s="7" t="s">
        <v>674</v>
      </c>
      <c r="J124" s="7" t="s">
        <v>679</v>
      </c>
      <c r="K124" s="7" t="str">
        <f>HYPERLINK("http://slimages.macys.com/is/image/MCY/9613896 ")</f>
        <v xml:space="preserve">http://slimages.macys.com/is/image/MCY/9613896 </v>
      </c>
    </row>
    <row r="125" spans="1:11" ht="20.100000000000001" customHeight="1" x14ac:dyDescent="0.25">
      <c r="A125" s="7" t="s">
        <v>963</v>
      </c>
      <c r="B125" s="20">
        <v>13815672</v>
      </c>
      <c r="C125" s="8">
        <v>675716822231</v>
      </c>
      <c r="D125" s="6" t="s">
        <v>1080</v>
      </c>
      <c r="E125" s="7">
        <v>1</v>
      </c>
      <c r="F125" s="9">
        <v>138.99</v>
      </c>
      <c r="G125" s="21">
        <v>138.99</v>
      </c>
      <c r="H125" s="7" t="s">
        <v>691</v>
      </c>
      <c r="I125" s="7" t="s">
        <v>723</v>
      </c>
      <c r="J125" s="7" t="s">
        <v>137</v>
      </c>
      <c r="K125" s="7" t="str">
        <f>HYPERLINK("http://slimages.macys.com/is/image/MCY/8398063 ")</f>
        <v xml:space="preserve">http://slimages.macys.com/is/image/MCY/8398063 </v>
      </c>
    </row>
    <row r="126" spans="1:11" ht="20.100000000000001" customHeight="1" x14ac:dyDescent="0.25">
      <c r="A126" s="7" t="s">
        <v>963</v>
      </c>
      <c r="B126" s="20">
        <v>13815672</v>
      </c>
      <c r="C126" s="8">
        <v>675716970789</v>
      </c>
      <c r="D126" s="6" t="s">
        <v>1081</v>
      </c>
      <c r="E126" s="7">
        <v>1</v>
      </c>
      <c r="F126" s="9">
        <v>149.99</v>
      </c>
      <c r="G126" s="21">
        <v>149.99</v>
      </c>
      <c r="H126" s="7" t="s">
        <v>671</v>
      </c>
      <c r="I126" s="7" t="s">
        <v>736</v>
      </c>
      <c r="J126" s="7" t="s">
        <v>679</v>
      </c>
      <c r="K126" s="7" t="str">
        <f>HYPERLINK("http://slimages.macys.com/is/image/MCY/11857063 ")</f>
        <v xml:space="preserve">http://slimages.macys.com/is/image/MCY/11857063 </v>
      </c>
    </row>
    <row r="127" spans="1:11" ht="20.100000000000001" customHeight="1" x14ac:dyDescent="0.25">
      <c r="A127" s="7" t="s">
        <v>963</v>
      </c>
      <c r="B127" s="20">
        <v>13815672</v>
      </c>
      <c r="C127" s="8">
        <v>679610808377</v>
      </c>
      <c r="D127" s="6" t="s">
        <v>1082</v>
      </c>
      <c r="E127" s="7">
        <v>1</v>
      </c>
      <c r="F127" s="9">
        <v>179.99</v>
      </c>
      <c r="G127" s="21">
        <v>179.99</v>
      </c>
      <c r="H127" s="7" t="s">
        <v>749</v>
      </c>
      <c r="I127" s="7" t="s">
        <v>672</v>
      </c>
      <c r="J127" s="7" t="s">
        <v>774</v>
      </c>
      <c r="K127" s="7" t="str">
        <f>HYPERLINK("http://slimages.macys.com/is/image/MCY/14826453 ")</f>
        <v xml:space="preserve">http://slimages.macys.com/is/image/MCY/14826453 </v>
      </c>
    </row>
    <row r="128" spans="1:11" ht="20.100000000000001" customHeight="1" x14ac:dyDescent="0.25">
      <c r="A128" s="7" t="s">
        <v>963</v>
      </c>
      <c r="B128" s="20">
        <v>13815672</v>
      </c>
      <c r="C128" s="8">
        <v>679610813920</v>
      </c>
      <c r="D128" s="6" t="s">
        <v>780</v>
      </c>
      <c r="E128" s="7">
        <v>1</v>
      </c>
      <c r="F128" s="9">
        <v>179.99</v>
      </c>
      <c r="G128" s="21">
        <v>179.99</v>
      </c>
      <c r="H128" s="7" t="s">
        <v>773</v>
      </c>
      <c r="I128" s="7" t="s">
        <v>672</v>
      </c>
      <c r="J128" s="7" t="s">
        <v>774</v>
      </c>
      <c r="K128" s="7" t="str">
        <f>HYPERLINK("http://slimages.macys.com/is/image/MCY/14789644 ")</f>
        <v xml:space="preserve">http://slimages.macys.com/is/image/MCY/14789644 </v>
      </c>
    </row>
    <row r="129" spans="1:11" ht="20.100000000000001" customHeight="1" x14ac:dyDescent="0.25">
      <c r="A129" s="7" t="s">
        <v>963</v>
      </c>
      <c r="B129" s="20">
        <v>13815672</v>
      </c>
      <c r="C129" s="8">
        <v>679610813937</v>
      </c>
      <c r="D129" s="6" t="s">
        <v>956</v>
      </c>
      <c r="E129" s="7">
        <v>1</v>
      </c>
      <c r="F129" s="9">
        <v>179.99</v>
      </c>
      <c r="G129" s="21">
        <v>179.99</v>
      </c>
      <c r="H129" s="7" t="s">
        <v>773</v>
      </c>
      <c r="I129" s="7" t="s">
        <v>672</v>
      </c>
      <c r="J129" s="7" t="s">
        <v>774</v>
      </c>
      <c r="K129" s="7" t="str">
        <f>HYPERLINK("http://slimages.macys.com/is/image/MCY/14789644 ")</f>
        <v xml:space="preserve">http://slimages.macys.com/is/image/MCY/14789644 </v>
      </c>
    </row>
    <row r="130" spans="1:11" ht="20.100000000000001" customHeight="1" x14ac:dyDescent="0.25">
      <c r="A130" s="7" t="s">
        <v>963</v>
      </c>
      <c r="B130" s="20">
        <v>13815672</v>
      </c>
      <c r="C130" s="8">
        <v>679610813937</v>
      </c>
      <c r="D130" s="6" t="s">
        <v>956</v>
      </c>
      <c r="E130" s="7">
        <v>1</v>
      </c>
      <c r="F130" s="9">
        <v>179.99</v>
      </c>
      <c r="G130" s="21">
        <v>179.99</v>
      </c>
      <c r="H130" s="7" t="s">
        <v>773</v>
      </c>
      <c r="I130" s="7" t="s">
        <v>672</v>
      </c>
      <c r="J130" s="7" t="s">
        <v>774</v>
      </c>
      <c r="K130" s="7" t="str">
        <f>HYPERLINK("http://slimages.macys.com/is/image/MCY/14789644 ")</f>
        <v xml:space="preserve">http://slimages.macys.com/is/image/MCY/14789644 </v>
      </c>
    </row>
    <row r="131" spans="1:11" ht="20.100000000000001" customHeight="1" x14ac:dyDescent="0.25">
      <c r="A131" s="7" t="s">
        <v>963</v>
      </c>
      <c r="B131" s="20">
        <v>13815672</v>
      </c>
      <c r="C131" s="8">
        <v>679610822830</v>
      </c>
      <c r="D131" s="6" t="s">
        <v>1083</v>
      </c>
      <c r="E131" s="7">
        <v>1</v>
      </c>
      <c r="F131" s="9">
        <v>59.99</v>
      </c>
      <c r="G131" s="21">
        <v>59.99</v>
      </c>
      <c r="H131" s="7" t="s">
        <v>807</v>
      </c>
      <c r="I131" s="7" t="s">
        <v>672</v>
      </c>
      <c r="J131" s="7" t="s">
        <v>774</v>
      </c>
      <c r="K131" s="7" t="str">
        <f>HYPERLINK("http://slimages.macys.com/is/image/MCY/17873992 ")</f>
        <v xml:space="preserve">http://slimages.macys.com/is/image/MCY/17873992 </v>
      </c>
    </row>
    <row r="132" spans="1:11" ht="20.100000000000001" customHeight="1" x14ac:dyDescent="0.25">
      <c r="A132" s="7" t="s">
        <v>963</v>
      </c>
      <c r="B132" s="20">
        <v>13815672</v>
      </c>
      <c r="C132" s="8">
        <v>679610822847</v>
      </c>
      <c r="D132" s="6" t="s">
        <v>941</v>
      </c>
      <c r="E132" s="7">
        <v>1</v>
      </c>
      <c r="F132" s="9">
        <v>59.99</v>
      </c>
      <c r="G132" s="21">
        <v>59.99</v>
      </c>
      <c r="H132" s="7" t="s">
        <v>807</v>
      </c>
      <c r="I132" s="7" t="s">
        <v>672</v>
      </c>
      <c r="J132" s="7" t="s">
        <v>774</v>
      </c>
      <c r="K132" s="7" t="str">
        <f>HYPERLINK("http://slimages.macys.com/is/image/MCY/17874093 ")</f>
        <v xml:space="preserve">http://slimages.macys.com/is/image/MCY/17874093 </v>
      </c>
    </row>
    <row r="133" spans="1:11" ht="20.100000000000001" customHeight="1" x14ac:dyDescent="0.25">
      <c r="A133" s="7" t="s">
        <v>963</v>
      </c>
      <c r="B133" s="20">
        <v>13815672</v>
      </c>
      <c r="C133" s="8">
        <v>679610834239</v>
      </c>
      <c r="D133" s="6" t="s">
        <v>1084</v>
      </c>
      <c r="E133" s="7">
        <v>1</v>
      </c>
      <c r="F133" s="9">
        <v>49.99</v>
      </c>
      <c r="G133" s="21">
        <v>49.99</v>
      </c>
      <c r="H133" s="7" t="s">
        <v>676</v>
      </c>
      <c r="I133" s="7" t="s">
        <v>672</v>
      </c>
      <c r="J133" s="7" t="s">
        <v>774</v>
      </c>
      <c r="K133" s="7" t="str">
        <f>HYPERLINK("http://slimages.macys.com/is/image/MCY/18869173 ")</f>
        <v xml:space="preserve">http://slimages.macys.com/is/image/MCY/18869173 </v>
      </c>
    </row>
    <row r="134" spans="1:11" ht="20.100000000000001" customHeight="1" x14ac:dyDescent="0.25">
      <c r="A134" s="7" t="s">
        <v>963</v>
      </c>
      <c r="B134" s="20">
        <v>13815672</v>
      </c>
      <c r="C134" s="8">
        <v>679610834666</v>
      </c>
      <c r="D134" s="6" t="s">
        <v>864</v>
      </c>
      <c r="E134" s="7">
        <v>2</v>
      </c>
      <c r="F134" s="9">
        <v>129.99</v>
      </c>
      <c r="G134" s="21">
        <v>259.98</v>
      </c>
      <c r="H134" s="7" t="s">
        <v>668</v>
      </c>
      <c r="I134" s="7" t="s">
        <v>672</v>
      </c>
      <c r="J134" s="7" t="s">
        <v>774</v>
      </c>
      <c r="K134" s="7" t="str">
        <f>HYPERLINK("http://slimages.macys.com/is/image/MCY/18742626 ")</f>
        <v xml:space="preserve">http://slimages.macys.com/is/image/MCY/18742626 </v>
      </c>
    </row>
    <row r="135" spans="1:11" ht="20.100000000000001" customHeight="1" x14ac:dyDescent="0.25">
      <c r="A135" s="7" t="s">
        <v>963</v>
      </c>
      <c r="B135" s="20">
        <v>13815672</v>
      </c>
      <c r="C135" s="8">
        <v>679610838251</v>
      </c>
      <c r="D135" s="6" t="s">
        <v>1085</v>
      </c>
      <c r="E135" s="7">
        <v>1</v>
      </c>
      <c r="F135" s="9">
        <v>179.99</v>
      </c>
      <c r="G135" s="21">
        <v>179.99</v>
      </c>
      <c r="H135" s="7" t="s">
        <v>676</v>
      </c>
      <c r="I135" s="7" t="s">
        <v>672</v>
      </c>
      <c r="J135" s="7" t="s">
        <v>774</v>
      </c>
      <c r="K135" s="7" t="str">
        <f>HYPERLINK("http://slimages.macys.com/is/image/MCY/19395673 ")</f>
        <v xml:space="preserve">http://slimages.macys.com/is/image/MCY/19395673 </v>
      </c>
    </row>
    <row r="136" spans="1:11" ht="20.100000000000001" customHeight="1" x14ac:dyDescent="0.25">
      <c r="A136" s="7" t="s">
        <v>963</v>
      </c>
      <c r="B136" s="20">
        <v>13815672</v>
      </c>
      <c r="C136" s="8">
        <v>679610838350</v>
      </c>
      <c r="D136" s="6" t="s">
        <v>1086</v>
      </c>
      <c r="E136" s="7">
        <v>1</v>
      </c>
      <c r="F136" s="9">
        <v>129.99</v>
      </c>
      <c r="G136" s="21">
        <v>129.99</v>
      </c>
      <c r="H136" s="7" t="s">
        <v>751</v>
      </c>
      <c r="I136" s="7" t="s">
        <v>672</v>
      </c>
      <c r="J136" s="7" t="s">
        <v>774</v>
      </c>
      <c r="K136" s="7" t="str">
        <f>HYPERLINK("http://slimages.macys.com/is/image/MCY/19395142 ")</f>
        <v xml:space="preserve">http://slimages.macys.com/is/image/MCY/19395142 </v>
      </c>
    </row>
    <row r="137" spans="1:11" ht="20.100000000000001" customHeight="1" x14ac:dyDescent="0.25">
      <c r="A137" s="7" t="s">
        <v>963</v>
      </c>
      <c r="B137" s="20">
        <v>13815672</v>
      </c>
      <c r="C137" s="8">
        <v>680656146590</v>
      </c>
      <c r="D137" s="6" t="s">
        <v>1087</v>
      </c>
      <c r="E137" s="7">
        <v>1</v>
      </c>
      <c r="F137" s="9">
        <v>40.99</v>
      </c>
      <c r="G137" s="21">
        <v>40.99</v>
      </c>
      <c r="H137" s="7" t="s">
        <v>701</v>
      </c>
      <c r="I137" s="7" t="s">
        <v>674</v>
      </c>
      <c r="J137" s="7" t="s">
        <v>138</v>
      </c>
      <c r="K137" s="7" t="str">
        <f>HYPERLINK("http://slimages.macys.com/is/image/MCY/11461440 ")</f>
        <v xml:space="preserve">http://slimages.macys.com/is/image/MCY/11461440 </v>
      </c>
    </row>
    <row r="138" spans="1:11" ht="20.100000000000001" customHeight="1" x14ac:dyDescent="0.25">
      <c r="A138" s="7" t="s">
        <v>963</v>
      </c>
      <c r="B138" s="20">
        <v>13815672</v>
      </c>
      <c r="C138" s="8">
        <v>681827992718</v>
      </c>
      <c r="D138" s="6" t="s">
        <v>1088</v>
      </c>
      <c r="E138" s="7">
        <v>1</v>
      </c>
      <c r="F138" s="9">
        <v>69.989999999999995</v>
      </c>
      <c r="G138" s="21">
        <v>69.989999999999995</v>
      </c>
      <c r="H138" s="7" t="s">
        <v>676</v>
      </c>
      <c r="I138" s="7" t="s">
        <v>736</v>
      </c>
      <c r="J138" s="7" t="s">
        <v>900</v>
      </c>
      <c r="K138" s="7" t="str">
        <f>HYPERLINK("http://slimages.macys.com/is/image/MCY/18515438 ")</f>
        <v xml:space="preserve">http://slimages.macys.com/is/image/MCY/18515438 </v>
      </c>
    </row>
    <row r="139" spans="1:11" ht="20.100000000000001" customHeight="1" x14ac:dyDescent="0.25">
      <c r="A139" s="7" t="s">
        <v>963</v>
      </c>
      <c r="B139" s="20">
        <v>13815672</v>
      </c>
      <c r="C139" s="8">
        <v>689192610404</v>
      </c>
      <c r="D139" s="6" t="s">
        <v>1089</v>
      </c>
      <c r="E139" s="7">
        <v>1</v>
      </c>
      <c r="F139" s="9">
        <v>41.99</v>
      </c>
      <c r="G139" s="21">
        <v>41.99</v>
      </c>
      <c r="H139" s="7" t="s">
        <v>721</v>
      </c>
      <c r="I139" s="7" t="s">
        <v>684</v>
      </c>
      <c r="J139" s="7" t="s">
        <v>670</v>
      </c>
      <c r="K139" s="7" t="str">
        <f>HYPERLINK("http://slimages.macys.com/is/image/MCY/11798554 ")</f>
        <v xml:space="preserve">http://slimages.macys.com/is/image/MCY/11798554 </v>
      </c>
    </row>
    <row r="140" spans="1:11" ht="20.100000000000001" customHeight="1" x14ac:dyDescent="0.25">
      <c r="A140" s="7" t="s">
        <v>963</v>
      </c>
      <c r="B140" s="20">
        <v>13815672</v>
      </c>
      <c r="C140" s="8">
        <v>706254463355</v>
      </c>
      <c r="D140" s="6" t="s">
        <v>1090</v>
      </c>
      <c r="E140" s="7">
        <v>1</v>
      </c>
      <c r="F140" s="9">
        <v>12.99</v>
      </c>
      <c r="G140" s="21">
        <v>12.99</v>
      </c>
      <c r="H140" s="7" t="s">
        <v>721</v>
      </c>
      <c r="I140" s="7" t="s">
        <v>694</v>
      </c>
      <c r="J140" s="7" t="s">
        <v>695</v>
      </c>
      <c r="K140" s="7" t="str">
        <f>HYPERLINK("http://slimages.macys.com/is/image/MCY/12737814 ")</f>
        <v xml:space="preserve">http://slimages.macys.com/is/image/MCY/12737814 </v>
      </c>
    </row>
    <row r="141" spans="1:11" ht="20.100000000000001" customHeight="1" x14ac:dyDescent="0.25">
      <c r="A141" s="7" t="s">
        <v>963</v>
      </c>
      <c r="B141" s="20">
        <v>13815672</v>
      </c>
      <c r="C141" s="8">
        <v>706254464963</v>
      </c>
      <c r="D141" s="6" t="s">
        <v>1091</v>
      </c>
      <c r="E141" s="7">
        <v>1</v>
      </c>
      <c r="F141" s="9">
        <v>7.99</v>
      </c>
      <c r="G141" s="21">
        <v>7.99</v>
      </c>
      <c r="H141" s="7" t="s">
        <v>721</v>
      </c>
      <c r="I141" s="7" t="s">
        <v>694</v>
      </c>
      <c r="J141" s="7" t="s">
        <v>695</v>
      </c>
      <c r="K141" s="7" t="str">
        <f>HYPERLINK("http://slimages.macys.com/is/image/MCY/12737732 ")</f>
        <v xml:space="preserve">http://slimages.macys.com/is/image/MCY/12737732 </v>
      </c>
    </row>
    <row r="142" spans="1:11" ht="20.100000000000001" customHeight="1" x14ac:dyDescent="0.25">
      <c r="A142" s="7" t="s">
        <v>963</v>
      </c>
      <c r="B142" s="20">
        <v>13815672</v>
      </c>
      <c r="C142" s="8">
        <v>706254616522</v>
      </c>
      <c r="D142" s="6" t="s">
        <v>931</v>
      </c>
      <c r="E142" s="7">
        <v>1</v>
      </c>
      <c r="F142" s="9">
        <v>17.989999999999998</v>
      </c>
      <c r="G142" s="21">
        <v>17.989999999999998</v>
      </c>
      <c r="H142" s="7" t="s">
        <v>671</v>
      </c>
      <c r="I142" s="7" t="s">
        <v>694</v>
      </c>
      <c r="J142" s="7" t="s">
        <v>695</v>
      </c>
      <c r="K142" s="7" t="str">
        <f>HYPERLINK("http://slimages.macys.com/is/image/MCY/3964365 ")</f>
        <v xml:space="preserve">http://slimages.macys.com/is/image/MCY/3964365 </v>
      </c>
    </row>
    <row r="143" spans="1:11" ht="20.100000000000001" customHeight="1" x14ac:dyDescent="0.25">
      <c r="A143" s="7" t="s">
        <v>963</v>
      </c>
      <c r="B143" s="20">
        <v>13815672</v>
      </c>
      <c r="C143" s="8">
        <v>706255871616</v>
      </c>
      <c r="D143" s="6" t="s">
        <v>909</v>
      </c>
      <c r="E143" s="7">
        <v>1</v>
      </c>
      <c r="F143" s="9">
        <v>7.99</v>
      </c>
      <c r="G143" s="21">
        <v>7.99</v>
      </c>
      <c r="H143" s="7" t="s">
        <v>677</v>
      </c>
      <c r="I143" s="7" t="s">
        <v>694</v>
      </c>
      <c r="J143" s="7" t="s">
        <v>710</v>
      </c>
      <c r="K143" s="7" t="str">
        <f>HYPERLINK("http://slimages.macys.com/is/image/MCY/12723264 ")</f>
        <v xml:space="preserve">http://slimages.macys.com/is/image/MCY/12723264 </v>
      </c>
    </row>
    <row r="144" spans="1:11" ht="20.100000000000001" customHeight="1" x14ac:dyDescent="0.25">
      <c r="A144" s="7" t="s">
        <v>963</v>
      </c>
      <c r="B144" s="20">
        <v>13815672</v>
      </c>
      <c r="C144" s="8">
        <v>706255871944</v>
      </c>
      <c r="D144" s="6" t="s">
        <v>793</v>
      </c>
      <c r="E144" s="7">
        <v>1</v>
      </c>
      <c r="F144" s="9">
        <v>4.99</v>
      </c>
      <c r="G144" s="21">
        <v>4.99</v>
      </c>
      <c r="H144" s="7" t="s">
        <v>701</v>
      </c>
      <c r="I144" s="7" t="s">
        <v>694</v>
      </c>
      <c r="J144" s="7" t="s">
        <v>710</v>
      </c>
      <c r="K144" s="7" t="str">
        <f>HYPERLINK("http://slimages.macys.com/is/image/MCY/12723277 ")</f>
        <v xml:space="preserve">http://slimages.macys.com/is/image/MCY/12723277 </v>
      </c>
    </row>
    <row r="145" spans="1:11" ht="20.100000000000001" customHeight="1" x14ac:dyDescent="0.25">
      <c r="A145" s="7" t="s">
        <v>963</v>
      </c>
      <c r="B145" s="20">
        <v>13815672</v>
      </c>
      <c r="C145" s="8">
        <v>706257253700</v>
      </c>
      <c r="D145" s="6" t="s">
        <v>746</v>
      </c>
      <c r="E145" s="7">
        <v>1</v>
      </c>
      <c r="F145" s="9">
        <v>229.99</v>
      </c>
      <c r="G145" s="21">
        <v>229.99</v>
      </c>
      <c r="H145" s="7" t="s">
        <v>668</v>
      </c>
      <c r="I145" s="7" t="s">
        <v>680</v>
      </c>
      <c r="J145" s="7" t="s">
        <v>747</v>
      </c>
      <c r="K145" s="7" t="str">
        <f>HYPERLINK("http://slimages.macys.com/is/image/MCY/11953123 ")</f>
        <v xml:space="preserve">http://slimages.macys.com/is/image/MCY/11953123 </v>
      </c>
    </row>
    <row r="146" spans="1:11" ht="20.100000000000001" customHeight="1" x14ac:dyDescent="0.25">
      <c r="A146" s="7" t="s">
        <v>963</v>
      </c>
      <c r="B146" s="20">
        <v>13815672</v>
      </c>
      <c r="C146" s="8">
        <v>706257375099</v>
      </c>
      <c r="D146" s="6" t="s">
        <v>934</v>
      </c>
      <c r="E146" s="7">
        <v>1</v>
      </c>
      <c r="F146" s="9">
        <v>79.989999999999995</v>
      </c>
      <c r="G146" s="21">
        <v>79.989999999999995</v>
      </c>
      <c r="H146" s="7" t="s">
        <v>668</v>
      </c>
      <c r="I146" s="7" t="s">
        <v>730</v>
      </c>
      <c r="J146" s="7" t="s">
        <v>800</v>
      </c>
      <c r="K146" s="7" t="str">
        <f>HYPERLINK("http://slimages.macys.com/is/image/MCY/11386860 ")</f>
        <v xml:space="preserve">http://slimages.macys.com/is/image/MCY/11386860 </v>
      </c>
    </row>
    <row r="147" spans="1:11" ht="20.100000000000001" customHeight="1" x14ac:dyDescent="0.25">
      <c r="A147" s="7" t="s">
        <v>963</v>
      </c>
      <c r="B147" s="20">
        <v>13815672</v>
      </c>
      <c r="C147" s="8">
        <v>706257404324</v>
      </c>
      <c r="D147" s="6" t="s">
        <v>880</v>
      </c>
      <c r="E147" s="7">
        <v>1</v>
      </c>
      <c r="F147" s="9">
        <v>99.99</v>
      </c>
      <c r="G147" s="21">
        <v>99.99</v>
      </c>
      <c r="H147" s="7" t="s">
        <v>668</v>
      </c>
      <c r="I147" s="7" t="s">
        <v>680</v>
      </c>
      <c r="J147" s="7" t="s">
        <v>747</v>
      </c>
      <c r="K147" s="7" t="str">
        <f>HYPERLINK("http://slimages.macys.com/is/image/MCY/8182285 ")</f>
        <v xml:space="preserve">http://slimages.macys.com/is/image/MCY/8182285 </v>
      </c>
    </row>
    <row r="148" spans="1:11" ht="20.100000000000001" customHeight="1" x14ac:dyDescent="0.25">
      <c r="A148" s="7" t="s">
        <v>963</v>
      </c>
      <c r="B148" s="20">
        <v>13815672</v>
      </c>
      <c r="C148" s="8">
        <v>706257404331</v>
      </c>
      <c r="D148" s="6" t="s">
        <v>827</v>
      </c>
      <c r="E148" s="7">
        <v>1</v>
      </c>
      <c r="F148" s="9">
        <v>139.99</v>
      </c>
      <c r="G148" s="21">
        <v>139.99</v>
      </c>
      <c r="H148" s="7" t="s">
        <v>668</v>
      </c>
      <c r="I148" s="7" t="s">
        <v>680</v>
      </c>
      <c r="J148" s="7" t="s">
        <v>747</v>
      </c>
      <c r="K148" s="7" t="str">
        <f>HYPERLINK("http://slimages.macys.com/is/image/MCY/8182285 ")</f>
        <v xml:space="preserve">http://slimages.macys.com/is/image/MCY/8182285 </v>
      </c>
    </row>
    <row r="149" spans="1:11" ht="20.100000000000001" customHeight="1" x14ac:dyDescent="0.25">
      <c r="A149" s="7" t="s">
        <v>963</v>
      </c>
      <c r="B149" s="20">
        <v>13815672</v>
      </c>
      <c r="C149" s="8">
        <v>706257404829</v>
      </c>
      <c r="D149" s="6" t="s">
        <v>1092</v>
      </c>
      <c r="E149" s="7">
        <v>1</v>
      </c>
      <c r="F149" s="9">
        <v>74.989999999999995</v>
      </c>
      <c r="G149" s="21">
        <v>74.989999999999995</v>
      </c>
      <c r="H149" s="7" t="s">
        <v>773</v>
      </c>
      <c r="I149" s="7" t="s">
        <v>680</v>
      </c>
      <c r="J149" s="7" t="s">
        <v>747</v>
      </c>
      <c r="K149" s="7" t="str">
        <f>HYPERLINK("http://slimages.macys.com/is/image/MCY/8182285 ")</f>
        <v xml:space="preserve">http://slimages.macys.com/is/image/MCY/8182285 </v>
      </c>
    </row>
    <row r="150" spans="1:11" ht="20.100000000000001" customHeight="1" x14ac:dyDescent="0.25">
      <c r="A150" s="7" t="s">
        <v>963</v>
      </c>
      <c r="B150" s="20">
        <v>13815672</v>
      </c>
      <c r="C150" s="8">
        <v>706257490402</v>
      </c>
      <c r="D150" s="6" t="s">
        <v>1093</v>
      </c>
      <c r="E150" s="7">
        <v>1</v>
      </c>
      <c r="F150" s="9">
        <v>9.99</v>
      </c>
      <c r="G150" s="21">
        <v>9.99</v>
      </c>
      <c r="H150" s="7" t="s">
        <v>785</v>
      </c>
      <c r="I150" s="7" t="s">
        <v>694</v>
      </c>
      <c r="J150" s="7" t="s">
        <v>710</v>
      </c>
      <c r="K150" s="7" t="str">
        <f>HYPERLINK("http://slimages.macys.com/is/image/MCY/12723168 ")</f>
        <v xml:space="preserve">http://slimages.macys.com/is/image/MCY/12723168 </v>
      </c>
    </row>
    <row r="151" spans="1:11" ht="20.100000000000001" customHeight="1" x14ac:dyDescent="0.25">
      <c r="A151" s="7" t="s">
        <v>963</v>
      </c>
      <c r="B151" s="20">
        <v>13815672</v>
      </c>
      <c r="C151" s="8">
        <v>706258049951</v>
      </c>
      <c r="D151" s="6" t="s">
        <v>869</v>
      </c>
      <c r="E151" s="7">
        <v>1</v>
      </c>
      <c r="F151" s="9">
        <v>99.99</v>
      </c>
      <c r="G151" s="21">
        <v>99.99</v>
      </c>
      <c r="H151" s="7" t="s">
        <v>698</v>
      </c>
      <c r="I151" s="7" t="s">
        <v>692</v>
      </c>
      <c r="J151" s="7" t="s">
        <v>693</v>
      </c>
      <c r="K151" s="7" t="str">
        <f>HYPERLINK("http://slimages.macys.com/is/image/MCY/8433239 ")</f>
        <v xml:space="preserve">http://slimages.macys.com/is/image/MCY/8433239 </v>
      </c>
    </row>
    <row r="152" spans="1:11" ht="20.100000000000001" customHeight="1" x14ac:dyDescent="0.25">
      <c r="A152" s="7" t="s">
        <v>963</v>
      </c>
      <c r="B152" s="20">
        <v>13815672</v>
      </c>
      <c r="C152" s="8">
        <v>706258050841</v>
      </c>
      <c r="D152" s="6" t="s">
        <v>1094</v>
      </c>
      <c r="E152" s="7">
        <v>2</v>
      </c>
      <c r="F152" s="9">
        <v>99.99</v>
      </c>
      <c r="G152" s="21">
        <v>199.98</v>
      </c>
      <c r="H152" s="7" t="s">
        <v>773</v>
      </c>
      <c r="I152" s="7" t="s">
        <v>692</v>
      </c>
      <c r="J152" s="7" t="s">
        <v>693</v>
      </c>
      <c r="K152" s="7" t="str">
        <f>HYPERLINK("http://slimages.macys.com/is/image/MCY/11607139 ")</f>
        <v xml:space="preserve">http://slimages.macys.com/is/image/MCY/11607139 </v>
      </c>
    </row>
    <row r="153" spans="1:11" ht="20.100000000000001" customHeight="1" x14ac:dyDescent="0.25">
      <c r="A153" s="7" t="s">
        <v>963</v>
      </c>
      <c r="B153" s="20">
        <v>13815672</v>
      </c>
      <c r="C153" s="8">
        <v>706258051374</v>
      </c>
      <c r="D153" s="6" t="s">
        <v>1095</v>
      </c>
      <c r="E153" s="7">
        <v>1</v>
      </c>
      <c r="F153" s="9">
        <v>99.99</v>
      </c>
      <c r="G153" s="21">
        <v>99.99</v>
      </c>
      <c r="H153" s="7" t="s">
        <v>668</v>
      </c>
      <c r="I153" s="7" t="s">
        <v>692</v>
      </c>
      <c r="J153" s="7" t="s">
        <v>693</v>
      </c>
      <c r="K153" s="7" t="str">
        <f>HYPERLINK("http://slimages.macys.com/is/image/MCY/11534834 ")</f>
        <v xml:space="preserve">http://slimages.macys.com/is/image/MCY/11534834 </v>
      </c>
    </row>
    <row r="154" spans="1:11" ht="20.100000000000001" customHeight="1" x14ac:dyDescent="0.25">
      <c r="A154" s="7" t="s">
        <v>963</v>
      </c>
      <c r="B154" s="20">
        <v>13815672</v>
      </c>
      <c r="C154" s="8">
        <v>706258051381</v>
      </c>
      <c r="D154" s="6" t="s">
        <v>866</v>
      </c>
      <c r="E154" s="7">
        <v>1</v>
      </c>
      <c r="F154" s="9">
        <v>99.99</v>
      </c>
      <c r="G154" s="21">
        <v>99.99</v>
      </c>
      <c r="H154" s="7" t="s">
        <v>701</v>
      </c>
      <c r="I154" s="7" t="s">
        <v>692</v>
      </c>
      <c r="J154" s="7" t="s">
        <v>693</v>
      </c>
      <c r="K154" s="7" t="str">
        <f>HYPERLINK("http://slimages.macys.com/is/image/MCY/11534834 ")</f>
        <v xml:space="preserve">http://slimages.macys.com/is/image/MCY/11534834 </v>
      </c>
    </row>
    <row r="155" spans="1:11" ht="20.100000000000001" customHeight="1" x14ac:dyDescent="0.25">
      <c r="A155" s="7" t="s">
        <v>963</v>
      </c>
      <c r="B155" s="20">
        <v>13815672</v>
      </c>
      <c r="C155" s="8">
        <v>706258596486</v>
      </c>
      <c r="D155" s="6" t="s">
        <v>1096</v>
      </c>
      <c r="E155" s="7">
        <v>1</v>
      </c>
      <c r="F155" s="9">
        <v>119.99</v>
      </c>
      <c r="G155" s="21">
        <v>119.99</v>
      </c>
      <c r="H155" s="7" t="s">
        <v>665</v>
      </c>
      <c r="I155" s="7" t="s">
        <v>692</v>
      </c>
      <c r="J155" s="7" t="s">
        <v>753</v>
      </c>
      <c r="K155" s="7" t="str">
        <f>HYPERLINK("http://slimages.macys.com/is/image/MCY/8813910 ")</f>
        <v xml:space="preserve">http://slimages.macys.com/is/image/MCY/8813910 </v>
      </c>
    </row>
    <row r="156" spans="1:11" ht="20.100000000000001" customHeight="1" x14ac:dyDescent="0.25">
      <c r="A156" s="7" t="s">
        <v>963</v>
      </c>
      <c r="B156" s="20">
        <v>13815672</v>
      </c>
      <c r="C156" s="8">
        <v>706258615576</v>
      </c>
      <c r="D156" s="6" t="s">
        <v>922</v>
      </c>
      <c r="E156" s="7">
        <v>1</v>
      </c>
      <c r="F156" s="9">
        <v>29.99</v>
      </c>
      <c r="G156" s="21">
        <v>29.99</v>
      </c>
      <c r="H156" s="7" t="s">
        <v>714</v>
      </c>
      <c r="I156" s="7" t="s">
        <v>777</v>
      </c>
      <c r="J156" s="7" t="s">
        <v>890</v>
      </c>
      <c r="K156" s="7" t="str">
        <f>HYPERLINK("http://slimages.macys.com/is/image/MCY/9526176 ")</f>
        <v xml:space="preserve">http://slimages.macys.com/is/image/MCY/9526176 </v>
      </c>
    </row>
    <row r="157" spans="1:11" ht="20.100000000000001" customHeight="1" x14ac:dyDescent="0.25">
      <c r="A157" s="7" t="s">
        <v>963</v>
      </c>
      <c r="B157" s="20">
        <v>13815672</v>
      </c>
      <c r="C157" s="8">
        <v>706258615880</v>
      </c>
      <c r="D157" s="6" t="s">
        <v>1097</v>
      </c>
      <c r="E157" s="7">
        <v>1</v>
      </c>
      <c r="F157" s="9">
        <v>41.99</v>
      </c>
      <c r="G157" s="21">
        <v>41.99</v>
      </c>
      <c r="H157" s="7" t="s">
        <v>714</v>
      </c>
      <c r="I157" s="7" t="s">
        <v>777</v>
      </c>
      <c r="J157" s="7" t="s">
        <v>890</v>
      </c>
      <c r="K157" s="7" t="str">
        <f>HYPERLINK("http://slimages.macys.com/is/image/MCY/9406085 ")</f>
        <v xml:space="preserve">http://slimages.macys.com/is/image/MCY/9406085 </v>
      </c>
    </row>
    <row r="158" spans="1:11" ht="20.100000000000001" customHeight="1" x14ac:dyDescent="0.25">
      <c r="A158" s="7" t="s">
        <v>963</v>
      </c>
      <c r="B158" s="20">
        <v>13815672</v>
      </c>
      <c r="C158" s="8">
        <v>706258616375</v>
      </c>
      <c r="D158" s="6" t="s">
        <v>1098</v>
      </c>
      <c r="E158" s="7">
        <v>1</v>
      </c>
      <c r="F158" s="9">
        <v>49.99</v>
      </c>
      <c r="G158" s="21">
        <v>49.99</v>
      </c>
      <c r="H158" s="7" t="s">
        <v>714</v>
      </c>
      <c r="I158" s="7" t="s">
        <v>777</v>
      </c>
      <c r="J158" s="7" t="s">
        <v>890</v>
      </c>
      <c r="K158" s="7" t="str">
        <f>HYPERLINK("http://slimages.macys.com/is/image/MCY/256335 ")</f>
        <v xml:space="preserve">http://slimages.macys.com/is/image/MCY/256335 </v>
      </c>
    </row>
    <row r="159" spans="1:11" ht="20.100000000000001" customHeight="1" x14ac:dyDescent="0.25">
      <c r="A159" s="7" t="s">
        <v>963</v>
      </c>
      <c r="B159" s="20">
        <v>13815672</v>
      </c>
      <c r="C159" s="8">
        <v>706258633556</v>
      </c>
      <c r="D159" s="6" t="s">
        <v>940</v>
      </c>
      <c r="E159" s="7">
        <v>1</v>
      </c>
      <c r="F159" s="9">
        <v>169.99</v>
      </c>
      <c r="G159" s="21">
        <v>169.99</v>
      </c>
      <c r="H159" s="7" t="s">
        <v>668</v>
      </c>
      <c r="I159" s="7" t="s">
        <v>797</v>
      </c>
      <c r="J159" s="7" t="s">
        <v>825</v>
      </c>
      <c r="K159" s="7" t="str">
        <f>HYPERLINK("http://slimages.macys.com/is/image/MCY/8905437 ")</f>
        <v xml:space="preserve">http://slimages.macys.com/is/image/MCY/8905437 </v>
      </c>
    </row>
    <row r="160" spans="1:11" ht="20.100000000000001" customHeight="1" x14ac:dyDescent="0.25">
      <c r="A160" s="7" t="s">
        <v>963</v>
      </c>
      <c r="B160" s="20">
        <v>13815672</v>
      </c>
      <c r="C160" s="8">
        <v>718498801077</v>
      </c>
      <c r="D160" s="6" t="s">
        <v>1099</v>
      </c>
      <c r="E160" s="7">
        <v>1</v>
      </c>
      <c r="F160" s="9">
        <v>65.989999999999995</v>
      </c>
      <c r="G160" s="21">
        <v>65.989999999999995</v>
      </c>
      <c r="H160" s="7" t="s">
        <v>732</v>
      </c>
      <c r="I160" s="7" t="s">
        <v>736</v>
      </c>
      <c r="J160" s="7" t="s">
        <v>139</v>
      </c>
      <c r="K160" s="7" t="str">
        <f>HYPERLINK("http://slimages.macys.com/is/image/MCY/14467670 ")</f>
        <v xml:space="preserve">http://slimages.macys.com/is/image/MCY/14467670 </v>
      </c>
    </row>
    <row r="161" spans="1:11" ht="20.100000000000001" customHeight="1" x14ac:dyDescent="0.25">
      <c r="A161" s="7" t="s">
        <v>963</v>
      </c>
      <c r="B161" s="20">
        <v>13815672</v>
      </c>
      <c r="C161" s="8">
        <v>722970125421</v>
      </c>
      <c r="D161" s="6" t="s">
        <v>942</v>
      </c>
      <c r="E161" s="7">
        <v>1</v>
      </c>
      <c r="F161" s="9">
        <v>62.99</v>
      </c>
      <c r="G161" s="21">
        <v>62.99</v>
      </c>
      <c r="H161" s="7" t="s">
        <v>668</v>
      </c>
      <c r="I161" s="7" t="s">
        <v>669</v>
      </c>
      <c r="J161" s="7" t="s">
        <v>943</v>
      </c>
      <c r="K161" s="7" t="str">
        <f>HYPERLINK("http://slimages.macys.com/is/image/MCY/14329862 ")</f>
        <v xml:space="preserve">http://slimages.macys.com/is/image/MCY/14329862 </v>
      </c>
    </row>
    <row r="162" spans="1:11" ht="20.100000000000001" customHeight="1" x14ac:dyDescent="0.25">
      <c r="A162" s="7" t="s">
        <v>963</v>
      </c>
      <c r="B162" s="20">
        <v>13815672</v>
      </c>
      <c r="C162" s="8">
        <v>726895285628</v>
      </c>
      <c r="D162" s="6" t="s">
        <v>1100</v>
      </c>
      <c r="E162" s="7">
        <v>1</v>
      </c>
      <c r="F162" s="9">
        <v>199.99</v>
      </c>
      <c r="G162" s="21">
        <v>199.99</v>
      </c>
      <c r="H162" s="7" t="s">
        <v>807</v>
      </c>
      <c r="I162" s="7" t="s">
        <v>680</v>
      </c>
      <c r="J162" s="7" t="s">
        <v>816</v>
      </c>
      <c r="K162" s="7" t="str">
        <f>HYPERLINK("http://slimages.macys.com/is/image/MCY/9274760 ")</f>
        <v xml:space="preserve">http://slimages.macys.com/is/image/MCY/9274760 </v>
      </c>
    </row>
    <row r="163" spans="1:11" ht="20.100000000000001" customHeight="1" x14ac:dyDescent="0.25">
      <c r="A163" s="7" t="s">
        <v>963</v>
      </c>
      <c r="B163" s="20">
        <v>13815672</v>
      </c>
      <c r="C163" s="8">
        <v>726895578331</v>
      </c>
      <c r="D163" s="6" t="s">
        <v>1101</v>
      </c>
      <c r="E163" s="7">
        <v>2</v>
      </c>
      <c r="F163" s="9">
        <v>29.99</v>
      </c>
      <c r="G163" s="21">
        <v>59.98</v>
      </c>
      <c r="H163" s="7" t="s">
        <v>698</v>
      </c>
      <c r="I163" s="7" t="s">
        <v>763</v>
      </c>
      <c r="J163" s="7" t="s">
        <v>764</v>
      </c>
      <c r="K163" s="7" t="str">
        <f>HYPERLINK("http://slimages.macys.com/is/image/MCY/9356828 ")</f>
        <v xml:space="preserve">http://slimages.macys.com/is/image/MCY/9356828 </v>
      </c>
    </row>
    <row r="164" spans="1:11" ht="20.100000000000001" customHeight="1" x14ac:dyDescent="0.25">
      <c r="A164" s="7" t="s">
        <v>963</v>
      </c>
      <c r="B164" s="20">
        <v>13815672</v>
      </c>
      <c r="C164" s="8">
        <v>726895579505</v>
      </c>
      <c r="D164" s="6" t="s">
        <v>1102</v>
      </c>
      <c r="E164" s="7">
        <v>1</v>
      </c>
      <c r="F164" s="9">
        <v>29.99</v>
      </c>
      <c r="G164" s="21">
        <v>29.99</v>
      </c>
      <c r="H164" s="7" t="s">
        <v>807</v>
      </c>
      <c r="I164" s="7" t="s">
        <v>763</v>
      </c>
      <c r="J164" s="7" t="s">
        <v>764</v>
      </c>
      <c r="K164" s="7" t="str">
        <f>HYPERLINK("http://slimages.macys.com/is/image/MCY/9356962 ")</f>
        <v xml:space="preserve">http://slimages.macys.com/is/image/MCY/9356962 </v>
      </c>
    </row>
    <row r="165" spans="1:11" ht="20.100000000000001" customHeight="1" x14ac:dyDescent="0.25">
      <c r="A165" s="7" t="s">
        <v>963</v>
      </c>
      <c r="B165" s="20">
        <v>13815672</v>
      </c>
      <c r="C165" s="8">
        <v>726895579574</v>
      </c>
      <c r="D165" s="6" t="s">
        <v>1103</v>
      </c>
      <c r="E165" s="7">
        <v>1</v>
      </c>
      <c r="F165" s="9">
        <v>29.99</v>
      </c>
      <c r="G165" s="21">
        <v>29.99</v>
      </c>
      <c r="H165" s="7" t="s">
        <v>668</v>
      </c>
      <c r="I165" s="7" t="s">
        <v>763</v>
      </c>
      <c r="J165" s="7" t="s">
        <v>764</v>
      </c>
      <c r="K165" s="7" t="str">
        <f>HYPERLINK("http://slimages.macys.com/is/image/MCY/9356962 ")</f>
        <v xml:space="preserve">http://slimages.macys.com/is/image/MCY/9356962 </v>
      </c>
    </row>
    <row r="166" spans="1:11" ht="20.100000000000001" customHeight="1" x14ac:dyDescent="0.25">
      <c r="A166" s="7" t="s">
        <v>963</v>
      </c>
      <c r="B166" s="20">
        <v>13815672</v>
      </c>
      <c r="C166" s="8">
        <v>726895579574</v>
      </c>
      <c r="D166" s="6" t="s">
        <v>1103</v>
      </c>
      <c r="E166" s="7">
        <v>2</v>
      </c>
      <c r="F166" s="9">
        <v>29.99</v>
      </c>
      <c r="G166" s="21">
        <v>59.98</v>
      </c>
      <c r="H166" s="7" t="s">
        <v>668</v>
      </c>
      <c r="I166" s="7" t="s">
        <v>763</v>
      </c>
      <c r="J166" s="7" t="s">
        <v>764</v>
      </c>
      <c r="K166" s="7" t="str">
        <f>HYPERLINK("http://slimages.macys.com/is/image/MCY/9356962 ")</f>
        <v xml:space="preserve">http://slimages.macys.com/is/image/MCY/9356962 </v>
      </c>
    </row>
    <row r="167" spans="1:11" ht="20.100000000000001" customHeight="1" x14ac:dyDescent="0.25">
      <c r="A167" s="7" t="s">
        <v>963</v>
      </c>
      <c r="B167" s="20">
        <v>13815672</v>
      </c>
      <c r="C167" s="8">
        <v>732994072380</v>
      </c>
      <c r="D167" s="6" t="s">
        <v>892</v>
      </c>
      <c r="E167" s="7">
        <v>1</v>
      </c>
      <c r="F167" s="9">
        <v>34.99</v>
      </c>
      <c r="G167" s="21">
        <v>34.99</v>
      </c>
      <c r="H167" s="7" t="s">
        <v>714</v>
      </c>
      <c r="I167" s="7" t="s">
        <v>777</v>
      </c>
      <c r="J167" s="7" t="s">
        <v>893</v>
      </c>
      <c r="K167" s="7" t="str">
        <f>HYPERLINK("http://slimages.macys.com/is/image/MCY/9555756 ")</f>
        <v xml:space="preserve">http://slimages.macys.com/is/image/MCY/9555756 </v>
      </c>
    </row>
    <row r="168" spans="1:11" ht="20.100000000000001" customHeight="1" x14ac:dyDescent="0.25">
      <c r="A168" s="7" t="s">
        <v>963</v>
      </c>
      <c r="B168" s="20">
        <v>13815672</v>
      </c>
      <c r="C168" s="8">
        <v>732994628587</v>
      </c>
      <c r="D168" s="6" t="s">
        <v>727</v>
      </c>
      <c r="E168" s="7">
        <v>1</v>
      </c>
      <c r="F168" s="9">
        <v>139.99</v>
      </c>
      <c r="G168" s="21">
        <v>139.99</v>
      </c>
      <c r="H168" s="7" t="s">
        <v>668</v>
      </c>
      <c r="I168" s="7" t="s">
        <v>692</v>
      </c>
      <c r="J168" s="7" t="s">
        <v>728</v>
      </c>
      <c r="K168" s="7" t="str">
        <f>HYPERLINK("http://slimages.macys.com/is/image/MCY/10015969 ")</f>
        <v xml:space="preserve">http://slimages.macys.com/is/image/MCY/10015969 </v>
      </c>
    </row>
    <row r="169" spans="1:11" ht="20.100000000000001" customHeight="1" x14ac:dyDescent="0.25">
      <c r="A169" s="7" t="s">
        <v>963</v>
      </c>
      <c r="B169" s="20">
        <v>13815672</v>
      </c>
      <c r="C169" s="8">
        <v>732994628662</v>
      </c>
      <c r="D169" s="6" t="s">
        <v>1104</v>
      </c>
      <c r="E169" s="7">
        <v>1</v>
      </c>
      <c r="F169" s="9">
        <v>119.99</v>
      </c>
      <c r="G169" s="21">
        <v>119.99</v>
      </c>
      <c r="H169" s="7" t="s">
        <v>779</v>
      </c>
      <c r="I169" s="7" t="s">
        <v>692</v>
      </c>
      <c r="J169" s="7" t="s">
        <v>728</v>
      </c>
      <c r="K169" s="7" t="str">
        <f>HYPERLINK("http://slimages.macys.com/is/image/MCY/10015969 ")</f>
        <v xml:space="preserve">http://slimages.macys.com/is/image/MCY/10015969 </v>
      </c>
    </row>
    <row r="170" spans="1:11" ht="20.100000000000001" customHeight="1" x14ac:dyDescent="0.25">
      <c r="A170" s="7" t="s">
        <v>963</v>
      </c>
      <c r="B170" s="20">
        <v>13815672</v>
      </c>
      <c r="C170" s="8">
        <v>732995192032</v>
      </c>
      <c r="D170" s="6" t="s">
        <v>1105</v>
      </c>
      <c r="E170" s="7">
        <v>1</v>
      </c>
      <c r="F170" s="9">
        <v>49.99</v>
      </c>
      <c r="G170" s="21">
        <v>49.99</v>
      </c>
      <c r="H170" s="7" t="s">
        <v>732</v>
      </c>
      <c r="I170" s="7" t="s">
        <v>692</v>
      </c>
      <c r="J170" s="7" t="s">
        <v>693</v>
      </c>
      <c r="K170" s="7" t="str">
        <f>HYPERLINK("http://slimages.macys.com/is/image/MCY/8435667 ")</f>
        <v xml:space="preserve">http://slimages.macys.com/is/image/MCY/8435667 </v>
      </c>
    </row>
    <row r="171" spans="1:11" ht="20.100000000000001" customHeight="1" x14ac:dyDescent="0.25">
      <c r="A171" s="7" t="s">
        <v>963</v>
      </c>
      <c r="B171" s="20">
        <v>13815672</v>
      </c>
      <c r="C171" s="8">
        <v>732996249988</v>
      </c>
      <c r="D171" s="6" t="s">
        <v>1106</v>
      </c>
      <c r="E171" s="7">
        <v>3</v>
      </c>
      <c r="F171" s="9">
        <v>99.99</v>
      </c>
      <c r="G171" s="21">
        <v>299.97000000000003</v>
      </c>
      <c r="H171" s="7" t="s">
        <v>668</v>
      </c>
      <c r="I171" s="7" t="s">
        <v>777</v>
      </c>
      <c r="J171" s="7" t="s">
        <v>800</v>
      </c>
      <c r="K171" s="7" t="str">
        <f>HYPERLINK("http://slimages.macys.com/is/image/MCY/12779303 ")</f>
        <v xml:space="preserve">http://slimages.macys.com/is/image/MCY/12779303 </v>
      </c>
    </row>
    <row r="172" spans="1:11" ht="20.100000000000001" customHeight="1" x14ac:dyDescent="0.25">
      <c r="A172" s="7" t="s">
        <v>963</v>
      </c>
      <c r="B172" s="20">
        <v>13815672</v>
      </c>
      <c r="C172" s="8">
        <v>732996465197</v>
      </c>
      <c r="D172" s="6" t="s">
        <v>746</v>
      </c>
      <c r="E172" s="7">
        <v>1</v>
      </c>
      <c r="F172" s="9">
        <v>299.99</v>
      </c>
      <c r="G172" s="21">
        <v>299.99</v>
      </c>
      <c r="H172" s="7" t="s">
        <v>668</v>
      </c>
      <c r="I172" s="7" t="s">
        <v>680</v>
      </c>
      <c r="J172" s="7" t="s">
        <v>747</v>
      </c>
      <c r="K172" s="7" t="str">
        <f>HYPERLINK("http://slimages.macys.com/is/image/MCY/11953123 ")</f>
        <v xml:space="preserve">http://slimages.macys.com/is/image/MCY/11953123 </v>
      </c>
    </row>
    <row r="173" spans="1:11" ht="20.100000000000001" customHeight="1" x14ac:dyDescent="0.25">
      <c r="A173" s="7" t="s">
        <v>963</v>
      </c>
      <c r="B173" s="20">
        <v>13815672</v>
      </c>
      <c r="C173" s="8">
        <v>732996988184</v>
      </c>
      <c r="D173" s="6" t="s">
        <v>1107</v>
      </c>
      <c r="E173" s="7">
        <v>1</v>
      </c>
      <c r="F173" s="9">
        <v>139.99</v>
      </c>
      <c r="G173" s="21">
        <v>139.99</v>
      </c>
      <c r="H173" s="7" t="s">
        <v>671</v>
      </c>
      <c r="I173" s="7" t="s">
        <v>808</v>
      </c>
      <c r="J173" s="7" t="s">
        <v>809</v>
      </c>
      <c r="K173" s="7" t="str">
        <f>HYPERLINK("http://slimages.macys.com/is/image/MCY/14607158 ")</f>
        <v xml:space="preserve">http://slimages.macys.com/is/image/MCY/14607158 </v>
      </c>
    </row>
    <row r="174" spans="1:11" ht="20.100000000000001" customHeight="1" x14ac:dyDescent="0.25">
      <c r="A174" s="7" t="s">
        <v>963</v>
      </c>
      <c r="B174" s="20">
        <v>13815672</v>
      </c>
      <c r="C174" s="8">
        <v>732997005392</v>
      </c>
      <c r="D174" s="6" t="s">
        <v>1108</v>
      </c>
      <c r="E174" s="7">
        <v>2</v>
      </c>
      <c r="F174" s="9">
        <v>24.99</v>
      </c>
      <c r="G174" s="21">
        <v>49.98</v>
      </c>
      <c r="H174" s="7" t="s">
        <v>677</v>
      </c>
      <c r="I174" s="7" t="s">
        <v>763</v>
      </c>
      <c r="J174" s="7" t="s">
        <v>902</v>
      </c>
      <c r="K174" s="7" t="str">
        <f>HYPERLINK("http://slimages.macys.com/is/image/MCY/14718151 ")</f>
        <v xml:space="preserve">http://slimages.macys.com/is/image/MCY/14718151 </v>
      </c>
    </row>
    <row r="175" spans="1:11" ht="20.100000000000001" customHeight="1" x14ac:dyDescent="0.25">
      <c r="A175" s="7" t="s">
        <v>963</v>
      </c>
      <c r="B175" s="20">
        <v>13815672</v>
      </c>
      <c r="C175" s="8">
        <v>732997069905</v>
      </c>
      <c r="D175" s="6" t="s">
        <v>1109</v>
      </c>
      <c r="E175" s="7">
        <v>1</v>
      </c>
      <c r="F175" s="9">
        <v>39.99</v>
      </c>
      <c r="G175" s="21">
        <v>39.99</v>
      </c>
      <c r="H175" s="7" t="s">
        <v>711</v>
      </c>
      <c r="I175" s="7" t="s">
        <v>692</v>
      </c>
      <c r="J175" s="7" t="s">
        <v>693</v>
      </c>
      <c r="K175" s="7" t="str">
        <f>HYPERLINK("http://slimages.macys.com/is/image/MCY/13689104 ")</f>
        <v xml:space="preserve">http://slimages.macys.com/is/image/MCY/13689104 </v>
      </c>
    </row>
    <row r="176" spans="1:11" ht="20.100000000000001" customHeight="1" x14ac:dyDescent="0.25">
      <c r="A176" s="7" t="s">
        <v>963</v>
      </c>
      <c r="B176" s="20">
        <v>13815672</v>
      </c>
      <c r="C176" s="8">
        <v>732997259993</v>
      </c>
      <c r="D176" s="6" t="s">
        <v>1110</v>
      </c>
      <c r="E176" s="7">
        <v>1</v>
      </c>
      <c r="F176" s="9">
        <v>69.989999999999995</v>
      </c>
      <c r="G176" s="21">
        <v>69.989999999999995</v>
      </c>
      <c r="H176" s="7" t="s">
        <v>668</v>
      </c>
      <c r="I176" s="7" t="s">
        <v>680</v>
      </c>
      <c r="J176" s="7" t="s">
        <v>816</v>
      </c>
      <c r="K176" s="7" t="str">
        <f>HYPERLINK("http://slimages.macys.com/is/image/MCY/14788492 ")</f>
        <v xml:space="preserve">http://slimages.macys.com/is/image/MCY/14788492 </v>
      </c>
    </row>
    <row r="177" spans="1:11" ht="20.100000000000001" customHeight="1" x14ac:dyDescent="0.25">
      <c r="A177" s="7" t="s">
        <v>963</v>
      </c>
      <c r="B177" s="20">
        <v>13815672</v>
      </c>
      <c r="C177" s="8">
        <v>732997262931</v>
      </c>
      <c r="D177" s="6" t="s">
        <v>1111</v>
      </c>
      <c r="E177" s="7">
        <v>1</v>
      </c>
      <c r="F177" s="9">
        <v>99.99</v>
      </c>
      <c r="G177" s="21">
        <v>99.99</v>
      </c>
      <c r="H177" s="7" t="s">
        <v>744</v>
      </c>
      <c r="I177" s="7" t="s">
        <v>797</v>
      </c>
      <c r="J177" s="7" t="s">
        <v>826</v>
      </c>
      <c r="K177" s="7" t="str">
        <f>HYPERLINK("http://slimages.macys.com/is/image/MCY/3467222 ")</f>
        <v xml:space="preserve">http://slimages.macys.com/is/image/MCY/3467222 </v>
      </c>
    </row>
    <row r="178" spans="1:11" ht="20.100000000000001" customHeight="1" x14ac:dyDescent="0.25">
      <c r="A178" s="7" t="s">
        <v>963</v>
      </c>
      <c r="B178" s="20">
        <v>13815672</v>
      </c>
      <c r="C178" s="8">
        <v>732997393949</v>
      </c>
      <c r="D178" s="6" t="s">
        <v>1112</v>
      </c>
      <c r="E178" s="7">
        <v>1</v>
      </c>
      <c r="F178" s="9">
        <v>69.989999999999995</v>
      </c>
      <c r="G178" s="21">
        <v>69.989999999999995</v>
      </c>
      <c r="H178" s="7" t="s">
        <v>668</v>
      </c>
      <c r="I178" s="7" t="s">
        <v>777</v>
      </c>
      <c r="J178" s="7" t="s">
        <v>843</v>
      </c>
      <c r="K178" s="7" t="str">
        <f>HYPERLINK("http://slimages.macys.com/is/image/MCY/13368359 ")</f>
        <v xml:space="preserve">http://slimages.macys.com/is/image/MCY/13368359 </v>
      </c>
    </row>
    <row r="179" spans="1:11" ht="20.100000000000001" customHeight="1" x14ac:dyDescent="0.25">
      <c r="A179" s="7" t="s">
        <v>963</v>
      </c>
      <c r="B179" s="20">
        <v>13815672</v>
      </c>
      <c r="C179" s="8">
        <v>732997393963</v>
      </c>
      <c r="D179" s="6" t="s">
        <v>944</v>
      </c>
      <c r="E179" s="7">
        <v>2</v>
      </c>
      <c r="F179" s="9">
        <v>49.99</v>
      </c>
      <c r="G179" s="21">
        <v>99.98</v>
      </c>
      <c r="H179" s="7" t="s">
        <v>668</v>
      </c>
      <c r="I179" s="7" t="s">
        <v>777</v>
      </c>
      <c r="J179" s="7" t="s">
        <v>843</v>
      </c>
      <c r="K179" s="7" t="str">
        <f>HYPERLINK("http://slimages.macys.com/is/image/MCY/13368404 ")</f>
        <v xml:space="preserve">http://slimages.macys.com/is/image/MCY/13368404 </v>
      </c>
    </row>
    <row r="180" spans="1:11" ht="20.100000000000001" customHeight="1" x14ac:dyDescent="0.25">
      <c r="A180" s="7" t="s">
        <v>963</v>
      </c>
      <c r="B180" s="20">
        <v>13815672</v>
      </c>
      <c r="C180" s="8">
        <v>732997394267</v>
      </c>
      <c r="D180" s="6" t="s">
        <v>842</v>
      </c>
      <c r="E180" s="7">
        <v>1</v>
      </c>
      <c r="F180" s="9">
        <v>64.989999999999995</v>
      </c>
      <c r="G180" s="21">
        <v>64.989999999999995</v>
      </c>
      <c r="H180" s="7" t="s">
        <v>668</v>
      </c>
      <c r="I180" s="7" t="s">
        <v>777</v>
      </c>
      <c r="J180" s="7" t="s">
        <v>843</v>
      </c>
      <c r="K180" s="7" t="str">
        <f>HYPERLINK("http://slimages.macys.com/is/image/MCY/13368404 ")</f>
        <v xml:space="preserve">http://slimages.macys.com/is/image/MCY/13368404 </v>
      </c>
    </row>
    <row r="181" spans="1:11" ht="20.100000000000001" customHeight="1" x14ac:dyDescent="0.25">
      <c r="A181" s="7" t="s">
        <v>963</v>
      </c>
      <c r="B181" s="20">
        <v>13815672</v>
      </c>
      <c r="C181" s="8">
        <v>732997493199</v>
      </c>
      <c r="D181" s="6" t="s">
        <v>1113</v>
      </c>
      <c r="E181" s="7">
        <v>1</v>
      </c>
      <c r="F181" s="9">
        <v>129.99</v>
      </c>
      <c r="G181" s="21">
        <v>129.99</v>
      </c>
      <c r="H181" s="7" t="s">
        <v>744</v>
      </c>
      <c r="I181" s="7" t="s">
        <v>692</v>
      </c>
      <c r="J181" s="7" t="s">
        <v>693</v>
      </c>
      <c r="K181" s="7" t="str">
        <f>HYPERLINK("http://slimages.macys.com/is/image/MCY/15862594 ")</f>
        <v xml:space="preserve">http://slimages.macys.com/is/image/MCY/15862594 </v>
      </c>
    </row>
    <row r="182" spans="1:11" ht="20.100000000000001" customHeight="1" x14ac:dyDescent="0.25">
      <c r="A182" s="7" t="s">
        <v>963</v>
      </c>
      <c r="B182" s="20">
        <v>13815672</v>
      </c>
      <c r="C182" s="8">
        <v>732997906491</v>
      </c>
      <c r="D182" s="6" t="s">
        <v>1114</v>
      </c>
      <c r="E182" s="7">
        <v>1</v>
      </c>
      <c r="F182" s="9">
        <v>79.989999999999995</v>
      </c>
      <c r="G182" s="21">
        <v>79.989999999999995</v>
      </c>
      <c r="H182" s="7" t="s">
        <v>807</v>
      </c>
      <c r="I182" s="7" t="s">
        <v>680</v>
      </c>
      <c r="J182" s="7" t="s">
        <v>733</v>
      </c>
      <c r="K182" s="7" t="str">
        <f>HYPERLINK("http://slimages.macys.com/is/image/MCY/15767051 ")</f>
        <v xml:space="preserve">http://slimages.macys.com/is/image/MCY/15767051 </v>
      </c>
    </row>
    <row r="183" spans="1:11" ht="20.100000000000001" customHeight="1" x14ac:dyDescent="0.25">
      <c r="A183" s="7" t="s">
        <v>963</v>
      </c>
      <c r="B183" s="20">
        <v>13815672</v>
      </c>
      <c r="C183" s="8">
        <v>732997906552</v>
      </c>
      <c r="D183" s="6" t="s">
        <v>1115</v>
      </c>
      <c r="E183" s="7">
        <v>1</v>
      </c>
      <c r="F183" s="9">
        <v>99.99</v>
      </c>
      <c r="G183" s="21">
        <v>99.99</v>
      </c>
      <c r="H183" s="7" t="s">
        <v>807</v>
      </c>
      <c r="I183" s="7" t="s">
        <v>680</v>
      </c>
      <c r="J183" s="7" t="s">
        <v>733</v>
      </c>
      <c r="K183" s="7" t="str">
        <f>HYPERLINK("http://slimages.macys.com/is/image/MCY/15767054 ")</f>
        <v xml:space="preserve">http://slimages.macys.com/is/image/MCY/15767054 </v>
      </c>
    </row>
    <row r="184" spans="1:11" ht="20.100000000000001" customHeight="1" x14ac:dyDescent="0.25">
      <c r="A184" s="7" t="s">
        <v>963</v>
      </c>
      <c r="B184" s="20">
        <v>13815672</v>
      </c>
      <c r="C184" s="8">
        <v>732998000211</v>
      </c>
      <c r="D184" s="6" t="s">
        <v>1116</v>
      </c>
      <c r="E184" s="7">
        <v>1</v>
      </c>
      <c r="F184" s="9">
        <v>19.989999999999998</v>
      </c>
      <c r="G184" s="21">
        <v>19.989999999999998</v>
      </c>
      <c r="H184" s="7" t="s">
        <v>668</v>
      </c>
      <c r="I184" s="7" t="s">
        <v>777</v>
      </c>
      <c r="J184" s="7" t="s">
        <v>800</v>
      </c>
      <c r="K184" s="7" t="str">
        <f>HYPERLINK("http://slimages.macys.com/is/image/MCY/15709914 ")</f>
        <v xml:space="preserve">http://slimages.macys.com/is/image/MCY/15709914 </v>
      </c>
    </row>
    <row r="185" spans="1:11" ht="20.100000000000001" customHeight="1" x14ac:dyDescent="0.25">
      <c r="A185" s="7" t="s">
        <v>963</v>
      </c>
      <c r="B185" s="20">
        <v>13815672</v>
      </c>
      <c r="C185" s="8">
        <v>732998000211</v>
      </c>
      <c r="D185" s="6" t="s">
        <v>1116</v>
      </c>
      <c r="E185" s="7">
        <v>1</v>
      </c>
      <c r="F185" s="9">
        <v>19.989999999999998</v>
      </c>
      <c r="G185" s="21">
        <v>19.989999999999998</v>
      </c>
      <c r="H185" s="7" t="s">
        <v>668</v>
      </c>
      <c r="I185" s="7" t="s">
        <v>777</v>
      </c>
      <c r="J185" s="7" t="s">
        <v>800</v>
      </c>
      <c r="K185" s="7" t="str">
        <f>HYPERLINK("http://slimages.macys.com/is/image/MCY/15709914 ")</f>
        <v xml:space="preserve">http://slimages.macys.com/is/image/MCY/15709914 </v>
      </c>
    </row>
    <row r="186" spans="1:11" ht="20.100000000000001" customHeight="1" x14ac:dyDescent="0.25">
      <c r="A186" s="7" t="s">
        <v>963</v>
      </c>
      <c r="B186" s="20">
        <v>13815672</v>
      </c>
      <c r="C186" s="8">
        <v>732998000259</v>
      </c>
      <c r="D186" s="6" t="s">
        <v>897</v>
      </c>
      <c r="E186" s="7">
        <v>1</v>
      </c>
      <c r="F186" s="9">
        <v>34.99</v>
      </c>
      <c r="G186" s="21">
        <v>34.99</v>
      </c>
      <c r="H186" s="7" t="s">
        <v>668</v>
      </c>
      <c r="I186" s="7" t="s">
        <v>777</v>
      </c>
      <c r="J186" s="7" t="s">
        <v>800</v>
      </c>
      <c r="K186" s="7" t="str">
        <f>HYPERLINK("http://slimages.macys.com/is/image/MCY/16904236 ")</f>
        <v xml:space="preserve">http://slimages.macys.com/is/image/MCY/16904236 </v>
      </c>
    </row>
    <row r="187" spans="1:11" ht="20.100000000000001" customHeight="1" x14ac:dyDescent="0.25">
      <c r="A187" s="7" t="s">
        <v>963</v>
      </c>
      <c r="B187" s="20">
        <v>13815672</v>
      </c>
      <c r="C187" s="8">
        <v>732998305392</v>
      </c>
      <c r="D187" s="6" t="s">
        <v>1117</v>
      </c>
      <c r="E187" s="7">
        <v>1</v>
      </c>
      <c r="F187" s="9">
        <v>139.99</v>
      </c>
      <c r="G187" s="21">
        <v>139.99</v>
      </c>
      <c r="H187" s="7" t="s">
        <v>784</v>
      </c>
      <c r="I187" s="7" t="s">
        <v>797</v>
      </c>
      <c r="J187" s="7" t="s">
        <v>825</v>
      </c>
      <c r="K187" s="7" t="str">
        <f>HYPERLINK("http://slimages.macys.com/is/image/MCY/16143905 ")</f>
        <v xml:space="preserve">http://slimages.macys.com/is/image/MCY/16143905 </v>
      </c>
    </row>
    <row r="188" spans="1:11" ht="20.100000000000001" customHeight="1" x14ac:dyDescent="0.25">
      <c r="A188" s="7" t="s">
        <v>963</v>
      </c>
      <c r="B188" s="20">
        <v>13815672</v>
      </c>
      <c r="C188" s="8">
        <v>732998330271</v>
      </c>
      <c r="D188" s="6" t="s">
        <v>1118</v>
      </c>
      <c r="E188" s="7">
        <v>2</v>
      </c>
      <c r="F188" s="9">
        <v>199.99</v>
      </c>
      <c r="G188" s="21">
        <v>399.98</v>
      </c>
      <c r="H188" s="7" t="s">
        <v>668</v>
      </c>
      <c r="I188" s="7" t="s">
        <v>680</v>
      </c>
      <c r="J188" s="7" t="s">
        <v>733</v>
      </c>
      <c r="K188" s="7" t="str">
        <f>HYPERLINK("http://slimages.macys.com/is/image/MCY/16381596 ")</f>
        <v xml:space="preserve">http://slimages.macys.com/is/image/MCY/16381596 </v>
      </c>
    </row>
    <row r="189" spans="1:11" ht="20.100000000000001" customHeight="1" x14ac:dyDescent="0.25">
      <c r="A189" s="7" t="s">
        <v>963</v>
      </c>
      <c r="B189" s="20">
        <v>13815672</v>
      </c>
      <c r="C189" s="8">
        <v>732998330271</v>
      </c>
      <c r="D189" s="6" t="s">
        <v>1118</v>
      </c>
      <c r="E189" s="7">
        <v>1</v>
      </c>
      <c r="F189" s="9">
        <v>199.99</v>
      </c>
      <c r="G189" s="21">
        <v>199.99</v>
      </c>
      <c r="H189" s="7" t="s">
        <v>668</v>
      </c>
      <c r="I189" s="7" t="s">
        <v>680</v>
      </c>
      <c r="J189" s="7" t="s">
        <v>733</v>
      </c>
      <c r="K189" s="7" t="str">
        <f>HYPERLINK("http://slimages.macys.com/is/image/MCY/16381596 ")</f>
        <v xml:space="preserve">http://slimages.macys.com/is/image/MCY/16381596 </v>
      </c>
    </row>
    <row r="190" spans="1:11" ht="20.100000000000001" customHeight="1" x14ac:dyDescent="0.25">
      <c r="A190" s="7" t="s">
        <v>963</v>
      </c>
      <c r="B190" s="20">
        <v>13815672</v>
      </c>
      <c r="C190" s="8">
        <v>732998393214</v>
      </c>
      <c r="D190" s="6" t="s">
        <v>1119</v>
      </c>
      <c r="E190" s="7">
        <v>1</v>
      </c>
      <c r="F190" s="9">
        <v>149.99</v>
      </c>
      <c r="G190" s="21">
        <v>149.99</v>
      </c>
      <c r="H190" s="7" t="s">
        <v>668</v>
      </c>
      <c r="I190" s="7" t="s">
        <v>692</v>
      </c>
      <c r="J190" s="7" t="s">
        <v>140</v>
      </c>
      <c r="K190" s="7" t="str">
        <f>HYPERLINK("http://slimages.macys.com/is/image/MCY/14883564 ")</f>
        <v xml:space="preserve">http://slimages.macys.com/is/image/MCY/14883564 </v>
      </c>
    </row>
    <row r="191" spans="1:11" ht="20.100000000000001" customHeight="1" x14ac:dyDescent="0.25">
      <c r="A191" s="7" t="s">
        <v>963</v>
      </c>
      <c r="B191" s="20">
        <v>13815672</v>
      </c>
      <c r="C191" s="8">
        <v>732999172566</v>
      </c>
      <c r="D191" s="6" t="s">
        <v>1120</v>
      </c>
      <c r="E191" s="7">
        <v>1</v>
      </c>
      <c r="F191" s="9">
        <v>179.99</v>
      </c>
      <c r="G191" s="21">
        <v>179.99</v>
      </c>
      <c r="H191" s="7" t="s">
        <v>668</v>
      </c>
      <c r="I191" s="7" t="s">
        <v>797</v>
      </c>
      <c r="J191" s="7" t="s">
        <v>798</v>
      </c>
      <c r="K191" s="7" t="str">
        <f>HYPERLINK("http://slimages.macys.com/is/image/MCY/16792618 ")</f>
        <v xml:space="preserve">http://slimages.macys.com/is/image/MCY/16792618 </v>
      </c>
    </row>
    <row r="192" spans="1:11" ht="20.100000000000001" customHeight="1" x14ac:dyDescent="0.25">
      <c r="A192" s="7" t="s">
        <v>963</v>
      </c>
      <c r="B192" s="20">
        <v>13815672</v>
      </c>
      <c r="C192" s="8">
        <v>732999521593</v>
      </c>
      <c r="D192" s="6" t="s">
        <v>1121</v>
      </c>
      <c r="E192" s="7">
        <v>1</v>
      </c>
      <c r="F192" s="9">
        <v>249.99</v>
      </c>
      <c r="G192" s="21">
        <v>249.99</v>
      </c>
      <c r="H192" s="7" t="s">
        <v>668</v>
      </c>
      <c r="I192" s="7" t="s">
        <v>680</v>
      </c>
      <c r="J192" s="7" t="s">
        <v>811</v>
      </c>
      <c r="K192" s="7" t="str">
        <f>HYPERLINK("http://slimages.macys.com/is/image/MCY/17481079 ")</f>
        <v xml:space="preserve">http://slimages.macys.com/is/image/MCY/17481079 </v>
      </c>
    </row>
    <row r="193" spans="1:11" ht="20.100000000000001" customHeight="1" x14ac:dyDescent="0.25">
      <c r="A193" s="7" t="s">
        <v>963</v>
      </c>
      <c r="B193" s="20">
        <v>13815672</v>
      </c>
      <c r="C193" s="8">
        <v>732999521685</v>
      </c>
      <c r="D193" s="6" t="s">
        <v>1122</v>
      </c>
      <c r="E193" s="7">
        <v>1</v>
      </c>
      <c r="F193" s="9">
        <v>299.99</v>
      </c>
      <c r="G193" s="21">
        <v>299.99</v>
      </c>
      <c r="H193" s="7" t="s">
        <v>668</v>
      </c>
      <c r="I193" s="7" t="s">
        <v>680</v>
      </c>
      <c r="J193" s="7" t="s">
        <v>811</v>
      </c>
      <c r="K193" s="7" t="str">
        <f>HYPERLINK("http://slimages.macys.com/is/image/MCY/17481062 ")</f>
        <v xml:space="preserve">http://slimages.macys.com/is/image/MCY/17481062 </v>
      </c>
    </row>
    <row r="194" spans="1:11" ht="20.100000000000001" customHeight="1" x14ac:dyDescent="0.25">
      <c r="A194" s="7" t="s">
        <v>963</v>
      </c>
      <c r="B194" s="20">
        <v>13815672</v>
      </c>
      <c r="C194" s="8">
        <v>732999571352</v>
      </c>
      <c r="D194" s="6" t="s">
        <v>1123</v>
      </c>
      <c r="E194" s="7">
        <v>1</v>
      </c>
      <c r="F194" s="9">
        <v>119.99</v>
      </c>
      <c r="G194" s="21">
        <v>119.99</v>
      </c>
      <c r="H194" s="7" t="s">
        <v>814</v>
      </c>
      <c r="I194" s="7" t="s">
        <v>692</v>
      </c>
      <c r="J194" s="7" t="s">
        <v>728</v>
      </c>
      <c r="K194" s="7" t="str">
        <f>HYPERLINK("http://slimages.macys.com/is/image/MCY/10015969 ")</f>
        <v xml:space="preserve">http://slimages.macys.com/is/image/MCY/10015969 </v>
      </c>
    </row>
    <row r="195" spans="1:11" ht="20.100000000000001" customHeight="1" x14ac:dyDescent="0.25">
      <c r="A195" s="7" t="s">
        <v>963</v>
      </c>
      <c r="B195" s="20">
        <v>13815672</v>
      </c>
      <c r="C195" s="8">
        <v>732999571406</v>
      </c>
      <c r="D195" s="6" t="s">
        <v>1124</v>
      </c>
      <c r="E195" s="7">
        <v>1</v>
      </c>
      <c r="F195" s="9">
        <v>99.99</v>
      </c>
      <c r="G195" s="21">
        <v>99.99</v>
      </c>
      <c r="H195" s="7" t="s">
        <v>744</v>
      </c>
      <c r="I195" s="7" t="s">
        <v>692</v>
      </c>
      <c r="J195" s="7" t="s">
        <v>728</v>
      </c>
      <c r="K195" s="7" t="str">
        <f>HYPERLINK("http://slimages.macys.com/is/image/MCY/10015969 ")</f>
        <v xml:space="preserve">http://slimages.macys.com/is/image/MCY/10015969 </v>
      </c>
    </row>
    <row r="196" spans="1:11" ht="20.100000000000001" customHeight="1" x14ac:dyDescent="0.25">
      <c r="A196" s="7" t="s">
        <v>963</v>
      </c>
      <c r="B196" s="20">
        <v>13815672</v>
      </c>
      <c r="C196" s="8">
        <v>732999571413</v>
      </c>
      <c r="D196" s="6" t="s">
        <v>1125</v>
      </c>
      <c r="E196" s="7">
        <v>1</v>
      </c>
      <c r="F196" s="9">
        <v>99.99</v>
      </c>
      <c r="G196" s="21">
        <v>99.99</v>
      </c>
      <c r="H196" s="7" t="s">
        <v>814</v>
      </c>
      <c r="I196" s="7" t="s">
        <v>692</v>
      </c>
      <c r="J196" s="7" t="s">
        <v>728</v>
      </c>
      <c r="K196" s="7" t="str">
        <f>HYPERLINK("http://slimages.macys.com/is/image/MCY/10015969 ")</f>
        <v xml:space="preserve">http://slimages.macys.com/is/image/MCY/10015969 </v>
      </c>
    </row>
    <row r="197" spans="1:11" ht="20.100000000000001" customHeight="1" x14ac:dyDescent="0.25">
      <c r="A197" s="7" t="s">
        <v>963</v>
      </c>
      <c r="B197" s="20">
        <v>13815672</v>
      </c>
      <c r="C197" s="8">
        <v>732999609697</v>
      </c>
      <c r="D197" s="6" t="s">
        <v>1126</v>
      </c>
      <c r="E197" s="7">
        <v>1</v>
      </c>
      <c r="F197" s="9">
        <v>199</v>
      </c>
      <c r="G197" s="21">
        <v>199</v>
      </c>
      <c r="H197" s="7" t="s">
        <v>732</v>
      </c>
      <c r="I197" s="7" t="s">
        <v>680</v>
      </c>
      <c r="J197" s="7" t="s">
        <v>733</v>
      </c>
      <c r="K197" s="7" t="str">
        <f>HYPERLINK("http://slimages.macys.com/is/image/MCY/17530943 ")</f>
        <v xml:space="preserve">http://slimages.macys.com/is/image/MCY/17530943 </v>
      </c>
    </row>
    <row r="198" spans="1:11" ht="20.100000000000001" customHeight="1" x14ac:dyDescent="0.25">
      <c r="A198" s="7" t="s">
        <v>963</v>
      </c>
      <c r="B198" s="20">
        <v>13815672</v>
      </c>
      <c r="C198" s="8">
        <v>732999609765</v>
      </c>
      <c r="D198" s="6" t="s">
        <v>1127</v>
      </c>
      <c r="E198" s="7">
        <v>1</v>
      </c>
      <c r="F198" s="9">
        <v>249.99</v>
      </c>
      <c r="G198" s="21">
        <v>249.99</v>
      </c>
      <c r="H198" s="7" t="s">
        <v>732</v>
      </c>
      <c r="I198" s="7" t="s">
        <v>680</v>
      </c>
      <c r="J198" s="7" t="s">
        <v>816</v>
      </c>
      <c r="K198" s="7" t="str">
        <f>HYPERLINK("http://slimages.macys.com/is/image/MCY/17531741 ")</f>
        <v xml:space="preserve">http://slimages.macys.com/is/image/MCY/17531741 </v>
      </c>
    </row>
    <row r="199" spans="1:11" ht="20.100000000000001" customHeight="1" x14ac:dyDescent="0.25">
      <c r="A199" s="7" t="s">
        <v>963</v>
      </c>
      <c r="B199" s="20">
        <v>13815672</v>
      </c>
      <c r="C199" s="8">
        <v>732999609802</v>
      </c>
      <c r="D199" s="6" t="s">
        <v>1128</v>
      </c>
      <c r="E199" s="7">
        <v>1</v>
      </c>
      <c r="F199" s="9">
        <v>79.989999999999995</v>
      </c>
      <c r="G199" s="21">
        <v>79.989999999999995</v>
      </c>
      <c r="H199" s="7" t="s">
        <v>732</v>
      </c>
      <c r="I199" s="7" t="s">
        <v>680</v>
      </c>
      <c r="J199" s="7" t="s">
        <v>816</v>
      </c>
      <c r="K199" s="7" t="str">
        <f>HYPERLINK("http://slimages.macys.com/is/image/MCY/17530966 ")</f>
        <v xml:space="preserve">http://slimages.macys.com/is/image/MCY/17530966 </v>
      </c>
    </row>
    <row r="200" spans="1:11" ht="20.100000000000001" customHeight="1" x14ac:dyDescent="0.25">
      <c r="A200" s="7" t="s">
        <v>963</v>
      </c>
      <c r="B200" s="20">
        <v>13815672</v>
      </c>
      <c r="C200" s="8">
        <v>732999609826</v>
      </c>
      <c r="D200" s="6" t="s">
        <v>1127</v>
      </c>
      <c r="E200" s="7">
        <v>1</v>
      </c>
      <c r="F200" s="9">
        <v>299.99</v>
      </c>
      <c r="G200" s="21">
        <v>299.99</v>
      </c>
      <c r="H200" s="7" t="s">
        <v>732</v>
      </c>
      <c r="I200" s="7" t="s">
        <v>680</v>
      </c>
      <c r="J200" s="7" t="s">
        <v>816</v>
      </c>
      <c r="K200" s="7" t="str">
        <f>HYPERLINK("http://slimages.macys.com/is/image/MCY/17531741 ")</f>
        <v xml:space="preserve">http://slimages.macys.com/is/image/MCY/17531741 </v>
      </c>
    </row>
    <row r="201" spans="1:11" ht="20.100000000000001" customHeight="1" x14ac:dyDescent="0.25">
      <c r="A201" s="7" t="s">
        <v>963</v>
      </c>
      <c r="B201" s="20">
        <v>13815672</v>
      </c>
      <c r="C201" s="8">
        <v>732999785070</v>
      </c>
      <c r="D201" s="6" t="s">
        <v>1129</v>
      </c>
      <c r="E201" s="7">
        <v>1</v>
      </c>
      <c r="F201" s="9">
        <v>149.99</v>
      </c>
      <c r="G201" s="21">
        <v>149.99</v>
      </c>
      <c r="H201" s="7" t="s">
        <v>668</v>
      </c>
      <c r="I201" s="7" t="s">
        <v>777</v>
      </c>
      <c r="J201" s="7" t="s">
        <v>838</v>
      </c>
      <c r="K201" s="7" t="str">
        <f>HYPERLINK("http://slimages.macys.com/is/image/MCY/17576398 ")</f>
        <v xml:space="preserve">http://slimages.macys.com/is/image/MCY/17576398 </v>
      </c>
    </row>
    <row r="202" spans="1:11" ht="20.100000000000001" customHeight="1" x14ac:dyDescent="0.25">
      <c r="A202" s="7" t="s">
        <v>963</v>
      </c>
      <c r="B202" s="20">
        <v>13815672</v>
      </c>
      <c r="C202" s="8">
        <v>732999788149</v>
      </c>
      <c r="D202" s="6" t="s">
        <v>1130</v>
      </c>
      <c r="E202" s="7">
        <v>1</v>
      </c>
      <c r="F202" s="9">
        <v>9.99</v>
      </c>
      <c r="G202" s="21">
        <v>9.99</v>
      </c>
      <c r="H202" s="7" t="s">
        <v>701</v>
      </c>
      <c r="I202" s="7" t="s">
        <v>694</v>
      </c>
      <c r="J202" s="7" t="s">
        <v>825</v>
      </c>
      <c r="K202" s="7" t="str">
        <f>HYPERLINK("http://slimages.macys.com/is/image/MCY/18097873 ")</f>
        <v xml:space="preserve">http://slimages.macys.com/is/image/MCY/18097873 </v>
      </c>
    </row>
    <row r="203" spans="1:11" ht="20.100000000000001" customHeight="1" x14ac:dyDescent="0.25">
      <c r="A203" s="7" t="s">
        <v>963</v>
      </c>
      <c r="B203" s="20">
        <v>13815672</v>
      </c>
      <c r="C203" s="8">
        <v>732999983810</v>
      </c>
      <c r="D203" s="6" t="s">
        <v>1131</v>
      </c>
      <c r="E203" s="7">
        <v>1</v>
      </c>
      <c r="F203" s="9">
        <v>249.99</v>
      </c>
      <c r="G203" s="21">
        <v>249.99</v>
      </c>
      <c r="H203" s="7" t="s">
        <v>754</v>
      </c>
      <c r="I203" s="7" t="s">
        <v>680</v>
      </c>
      <c r="J203" s="7" t="s">
        <v>816</v>
      </c>
      <c r="K203" s="7" t="str">
        <f>HYPERLINK("http://slimages.macys.com/is/image/MCY/18173125 ")</f>
        <v xml:space="preserve">http://slimages.macys.com/is/image/MCY/18173125 </v>
      </c>
    </row>
    <row r="204" spans="1:11" ht="20.100000000000001" customHeight="1" x14ac:dyDescent="0.25">
      <c r="A204" s="7" t="s">
        <v>963</v>
      </c>
      <c r="B204" s="20">
        <v>13815672</v>
      </c>
      <c r="C204" s="8">
        <v>733001335139</v>
      </c>
      <c r="D204" s="6" t="s">
        <v>1132</v>
      </c>
      <c r="E204" s="7">
        <v>1</v>
      </c>
      <c r="F204" s="9">
        <v>39.99</v>
      </c>
      <c r="G204" s="21">
        <v>39.99</v>
      </c>
      <c r="H204" s="7" t="s">
        <v>759</v>
      </c>
      <c r="I204" s="7" t="s">
        <v>797</v>
      </c>
      <c r="J204" s="7" t="s">
        <v>826</v>
      </c>
      <c r="K204" s="7" t="str">
        <f>HYPERLINK("http://slimages.macys.com/is/image/MCY/18491886 ")</f>
        <v xml:space="preserve">http://slimages.macys.com/is/image/MCY/18491886 </v>
      </c>
    </row>
    <row r="205" spans="1:11" ht="20.100000000000001" customHeight="1" x14ac:dyDescent="0.25">
      <c r="A205" s="7" t="s">
        <v>963</v>
      </c>
      <c r="B205" s="20">
        <v>13815672</v>
      </c>
      <c r="C205" s="8">
        <v>733001880837</v>
      </c>
      <c r="D205" s="6" t="s">
        <v>1133</v>
      </c>
      <c r="E205" s="7">
        <v>1</v>
      </c>
      <c r="F205" s="9">
        <v>149.99</v>
      </c>
      <c r="G205" s="21">
        <v>149.99</v>
      </c>
      <c r="H205" s="7" t="s">
        <v>676</v>
      </c>
      <c r="I205" s="7" t="s">
        <v>797</v>
      </c>
      <c r="J205" s="7" t="s">
        <v>798</v>
      </c>
      <c r="K205" s="7" t="str">
        <f>HYPERLINK("http://slimages.macys.com/is/image/MCY/18533682 ")</f>
        <v xml:space="preserve">http://slimages.macys.com/is/image/MCY/18533682 </v>
      </c>
    </row>
    <row r="206" spans="1:11" ht="20.100000000000001" customHeight="1" x14ac:dyDescent="0.25">
      <c r="A206" s="7" t="s">
        <v>963</v>
      </c>
      <c r="B206" s="20">
        <v>13815672</v>
      </c>
      <c r="C206" s="8">
        <v>733001880844</v>
      </c>
      <c r="D206" s="6" t="s">
        <v>1134</v>
      </c>
      <c r="E206" s="7">
        <v>1</v>
      </c>
      <c r="F206" s="9">
        <v>169.99</v>
      </c>
      <c r="G206" s="21">
        <v>169.99</v>
      </c>
      <c r="H206" s="7" t="s">
        <v>676</v>
      </c>
      <c r="I206" s="7" t="s">
        <v>797</v>
      </c>
      <c r="J206" s="7" t="s">
        <v>798</v>
      </c>
      <c r="K206" s="7" t="str">
        <f>HYPERLINK("http://slimages.macys.com/is/image/MCY/18533682 ")</f>
        <v xml:space="preserve">http://slimages.macys.com/is/image/MCY/18533682 </v>
      </c>
    </row>
    <row r="207" spans="1:11" ht="20.100000000000001" customHeight="1" x14ac:dyDescent="0.25">
      <c r="A207" s="7" t="s">
        <v>963</v>
      </c>
      <c r="B207" s="20">
        <v>13815672</v>
      </c>
      <c r="C207" s="8">
        <v>733002007981</v>
      </c>
      <c r="D207" s="6" t="s">
        <v>1135</v>
      </c>
      <c r="E207" s="7">
        <v>1</v>
      </c>
      <c r="F207" s="9">
        <v>199.99</v>
      </c>
      <c r="G207" s="21">
        <v>199.99</v>
      </c>
      <c r="H207" s="7" t="s">
        <v>717</v>
      </c>
      <c r="I207" s="7" t="s">
        <v>680</v>
      </c>
      <c r="J207" s="7" t="s">
        <v>817</v>
      </c>
      <c r="K207" s="7" t="str">
        <f>HYPERLINK("http://slimages.macys.com/is/image/MCY/18631904 ")</f>
        <v xml:space="preserve">http://slimages.macys.com/is/image/MCY/18631904 </v>
      </c>
    </row>
    <row r="208" spans="1:11" ht="20.100000000000001" customHeight="1" x14ac:dyDescent="0.25">
      <c r="A208" s="7" t="s">
        <v>963</v>
      </c>
      <c r="B208" s="20">
        <v>13815672</v>
      </c>
      <c r="C208" s="8">
        <v>733002052158</v>
      </c>
      <c r="D208" s="6" t="s">
        <v>1136</v>
      </c>
      <c r="E208" s="7">
        <v>1</v>
      </c>
      <c r="F208" s="9">
        <v>119.99</v>
      </c>
      <c r="G208" s="21">
        <v>119.99</v>
      </c>
      <c r="H208" s="7" t="s">
        <v>668</v>
      </c>
      <c r="I208" s="7" t="s">
        <v>741</v>
      </c>
      <c r="J208" s="7" t="s">
        <v>932</v>
      </c>
      <c r="K208" s="7" t="str">
        <f>HYPERLINK("http://slimages.macys.com/is/image/MCY/18366426 ")</f>
        <v xml:space="preserve">http://slimages.macys.com/is/image/MCY/18366426 </v>
      </c>
    </row>
    <row r="209" spans="1:11" ht="20.100000000000001" customHeight="1" x14ac:dyDescent="0.25">
      <c r="A209" s="7" t="s">
        <v>963</v>
      </c>
      <c r="B209" s="20">
        <v>13815672</v>
      </c>
      <c r="C209" s="8">
        <v>733002052158</v>
      </c>
      <c r="D209" s="6" t="s">
        <v>1136</v>
      </c>
      <c r="E209" s="7">
        <v>2</v>
      </c>
      <c r="F209" s="9">
        <v>119.99</v>
      </c>
      <c r="G209" s="21">
        <v>239.98</v>
      </c>
      <c r="H209" s="7" t="s">
        <v>668</v>
      </c>
      <c r="I209" s="7" t="s">
        <v>741</v>
      </c>
      <c r="J209" s="7" t="s">
        <v>932</v>
      </c>
      <c r="K209" s="7" t="str">
        <f>HYPERLINK("http://slimages.macys.com/is/image/MCY/18366426 ")</f>
        <v xml:space="preserve">http://slimages.macys.com/is/image/MCY/18366426 </v>
      </c>
    </row>
    <row r="210" spans="1:11" ht="20.100000000000001" customHeight="1" x14ac:dyDescent="0.25">
      <c r="A210" s="7" t="s">
        <v>963</v>
      </c>
      <c r="B210" s="20">
        <v>13815672</v>
      </c>
      <c r="C210" s="8">
        <v>733002052165</v>
      </c>
      <c r="D210" s="6" t="s">
        <v>1137</v>
      </c>
      <c r="E210" s="7">
        <v>1</v>
      </c>
      <c r="F210" s="9">
        <v>89.99</v>
      </c>
      <c r="G210" s="21">
        <v>89.99</v>
      </c>
      <c r="H210" s="7" t="s">
        <v>668</v>
      </c>
      <c r="I210" s="7" t="s">
        <v>741</v>
      </c>
      <c r="J210" s="7" t="s">
        <v>932</v>
      </c>
      <c r="K210" s="7" t="str">
        <f>HYPERLINK("http://slimages.macys.com/is/image/MCY/18366426 ")</f>
        <v xml:space="preserve">http://slimages.macys.com/is/image/MCY/18366426 </v>
      </c>
    </row>
    <row r="211" spans="1:11" ht="20.100000000000001" customHeight="1" x14ac:dyDescent="0.25">
      <c r="A211" s="7" t="s">
        <v>963</v>
      </c>
      <c r="B211" s="20">
        <v>13815672</v>
      </c>
      <c r="C211" s="8">
        <v>733002141586</v>
      </c>
      <c r="D211" s="6" t="s">
        <v>1138</v>
      </c>
      <c r="E211" s="7">
        <v>1</v>
      </c>
      <c r="F211" s="9">
        <v>99.99</v>
      </c>
      <c r="G211" s="21">
        <v>99.99</v>
      </c>
      <c r="H211" s="7" t="s">
        <v>732</v>
      </c>
      <c r="I211" s="7" t="s">
        <v>741</v>
      </c>
      <c r="J211" s="7" t="s">
        <v>790</v>
      </c>
      <c r="K211" s="7" t="str">
        <f>HYPERLINK("http://slimages.macys.com/is/image/MCY/18422555 ")</f>
        <v xml:space="preserve">http://slimages.macys.com/is/image/MCY/18422555 </v>
      </c>
    </row>
    <row r="212" spans="1:11" ht="20.100000000000001" customHeight="1" x14ac:dyDescent="0.25">
      <c r="A212" s="7" t="s">
        <v>963</v>
      </c>
      <c r="B212" s="20">
        <v>13815672</v>
      </c>
      <c r="C212" s="8">
        <v>733002247066</v>
      </c>
      <c r="D212" s="6" t="s">
        <v>1139</v>
      </c>
      <c r="E212" s="7">
        <v>1</v>
      </c>
      <c r="F212" s="9">
        <v>199.99</v>
      </c>
      <c r="G212" s="21">
        <v>199.99</v>
      </c>
      <c r="H212" s="7" t="s">
        <v>717</v>
      </c>
      <c r="I212" s="7" t="s">
        <v>680</v>
      </c>
      <c r="J212" s="7" t="s">
        <v>733</v>
      </c>
      <c r="K212" s="7" t="str">
        <f>HYPERLINK("http://slimages.macys.com/is/image/MCY/18821935 ")</f>
        <v xml:space="preserve">http://slimages.macys.com/is/image/MCY/18821935 </v>
      </c>
    </row>
    <row r="213" spans="1:11" ht="20.100000000000001" customHeight="1" x14ac:dyDescent="0.25">
      <c r="A213" s="7" t="s">
        <v>963</v>
      </c>
      <c r="B213" s="20">
        <v>13815672</v>
      </c>
      <c r="C213" s="8">
        <v>733002247073</v>
      </c>
      <c r="D213" s="6" t="s">
        <v>1140</v>
      </c>
      <c r="E213" s="7">
        <v>3</v>
      </c>
      <c r="F213" s="9">
        <v>249.99</v>
      </c>
      <c r="G213" s="21">
        <v>749.97</v>
      </c>
      <c r="H213" s="7" t="s">
        <v>717</v>
      </c>
      <c r="I213" s="7" t="s">
        <v>680</v>
      </c>
      <c r="J213" s="7" t="s">
        <v>733</v>
      </c>
      <c r="K213" s="7" t="str">
        <f>HYPERLINK("http://slimages.macys.com/is/image/MCY/18821935 ")</f>
        <v xml:space="preserve">http://slimages.macys.com/is/image/MCY/18821935 </v>
      </c>
    </row>
    <row r="214" spans="1:11" ht="20.100000000000001" customHeight="1" x14ac:dyDescent="0.25">
      <c r="A214" s="7" t="s">
        <v>963</v>
      </c>
      <c r="B214" s="20">
        <v>13815672</v>
      </c>
      <c r="C214" s="8">
        <v>733002270569</v>
      </c>
      <c r="D214" s="6" t="s">
        <v>1141</v>
      </c>
      <c r="E214" s="7">
        <v>3</v>
      </c>
      <c r="F214" s="9">
        <v>44.99</v>
      </c>
      <c r="G214" s="21">
        <v>134.97</v>
      </c>
      <c r="H214" s="7" t="s">
        <v>677</v>
      </c>
      <c r="I214" s="7" t="s">
        <v>808</v>
      </c>
      <c r="J214" s="7" t="s">
        <v>809</v>
      </c>
      <c r="K214" s="7" t="str">
        <f>HYPERLINK("http://slimages.macys.com/is/image/MCY/18893289 ")</f>
        <v xml:space="preserve">http://slimages.macys.com/is/image/MCY/18893289 </v>
      </c>
    </row>
    <row r="215" spans="1:11" ht="20.100000000000001" customHeight="1" x14ac:dyDescent="0.25">
      <c r="A215" s="7" t="s">
        <v>963</v>
      </c>
      <c r="B215" s="20">
        <v>13815672</v>
      </c>
      <c r="C215" s="8">
        <v>733002506569</v>
      </c>
      <c r="D215" s="6" t="s">
        <v>1142</v>
      </c>
      <c r="E215" s="7">
        <v>1</v>
      </c>
      <c r="F215" s="9">
        <v>299.99</v>
      </c>
      <c r="G215" s="21">
        <v>299.99</v>
      </c>
      <c r="H215" s="7" t="s">
        <v>668</v>
      </c>
      <c r="I215" s="7" t="s">
        <v>680</v>
      </c>
      <c r="J215" s="7" t="s">
        <v>811</v>
      </c>
      <c r="K215" s="7" t="str">
        <f>HYPERLINK("http://slimages.macys.com/is/image/MCY/19021243 ")</f>
        <v xml:space="preserve">http://slimages.macys.com/is/image/MCY/19021243 </v>
      </c>
    </row>
    <row r="216" spans="1:11" ht="20.100000000000001" customHeight="1" x14ac:dyDescent="0.25">
      <c r="A216" s="7" t="s">
        <v>963</v>
      </c>
      <c r="B216" s="20">
        <v>13815672</v>
      </c>
      <c r="C216" s="8">
        <v>733002506583</v>
      </c>
      <c r="D216" s="6" t="s">
        <v>1143</v>
      </c>
      <c r="E216" s="7">
        <v>1</v>
      </c>
      <c r="F216" s="9">
        <v>69.989999999999995</v>
      </c>
      <c r="G216" s="21">
        <v>69.989999999999995</v>
      </c>
      <c r="H216" s="7" t="s">
        <v>668</v>
      </c>
      <c r="I216" s="7" t="s">
        <v>680</v>
      </c>
      <c r="J216" s="7" t="s">
        <v>811</v>
      </c>
      <c r="K216" s="7" t="str">
        <f>HYPERLINK("http://slimages.macys.com/is/image/MCY/19021244 ")</f>
        <v xml:space="preserve">http://slimages.macys.com/is/image/MCY/19021244 </v>
      </c>
    </row>
    <row r="217" spans="1:11" ht="20.100000000000001" customHeight="1" x14ac:dyDescent="0.25">
      <c r="A217" s="7" t="s">
        <v>963</v>
      </c>
      <c r="B217" s="20">
        <v>13815672</v>
      </c>
      <c r="C217" s="8">
        <v>733002506705</v>
      </c>
      <c r="D217" s="6" t="s">
        <v>1144</v>
      </c>
      <c r="E217" s="7">
        <v>1</v>
      </c>
      <c r="F217" s="9">
        <v>69.989999999999995</v>
      </c>
      <c r="G217" s="21">
        <v>69.989999999999995</v>
      </c>
      <c r="H217" s="7" t="s">
        <v>668</v>
      </c>
      <c r="I217" s="7" t="s">
        <v>680</v>
      </c>
      <c r="J217" s="7" t="s">
        <v>811</v>
      </c>
      <c r="K217" s="7" t="str">
        <f>HYPERLINK("http://slimages.macys.com/is/image/MCY/19021270 ")</f>
        <v xml:space="preserve">http://slimages.macys.com/is/image/MCY/19021270 </v>
      </c>
    </row>
    <row r="218" spans="1:11" ht="20.100000000000001" customHeight="1" x14ac:dyDescent="0.25">
      <c r="A218" s="7" t="s">
        <v>963</v>
      </c>
      <c r="B218" s="20">
        <v>13815672</v>
      </c>
      <c r="C218" s="8">
        <v>733002640577</v>
      </c>
      <c r="D218" s="6" t="s">
        <v>1145</v>
      </c>
      <c r="E218" s="7">
        <v>1</v>
      </c>
      <c r="F218" s="9">
        <v>99.99</v>
      </c>
      <c r="G218" s="21">
        <v>99.99</v>
      </c>
      <c r="H218" s="7" t="s">
        <v>668</v>
      </c>
      <c r="I218" s="7" t="s">
        <v>692</v>
      </c>
      <c r="J218" s="7" t="s">
        <v>912</v>
      </c>
      <c r="K218" s="7" t="str">
        <f>HYPERLINK("http://slimages.macys.com/is/image/MCY/18917152 ")</f>
        <v xml:space="preserve">http://slimages.macys.com/is/image/MCY/18917152 </v>
      </c>
    </row>
    <row r="219" spans="1:11" ht="20.100000000000001" customHeight="1" x14ac:dyDescent="0.25">
      <c r="A219" s="7" t="s">
        <v>963</v>
      </c>
      <c r="B219" s="20">
        <v>13815672</v>
      </c>
      <c r="C219" s="8">
        <v>733002884735</v>
      </c>
      <c r="D219" s="6" t="s">
        <v>1146</v>
      </c>
      <c r="E219" s="7">
        <v>1</v>
      </c>
      <c r="F219" s="9">
        <v>249.99</v>
      </c>
      <c r="G219" s="21">
        <v>249.99</v>
      </c>
      <c r="H219" s="7" t="s">
        <v>744</v>
      </c>
      <c r="I219" s="7" t="s">
        <v>680</v>
      </c>
      <c r="J219" s="7" t="s">
        <v>733</v>
      </c>
      <c r="K219" s="7" t="str">
        <f>HYPERLINK("http://slimages.macys.com/is/image/MCY/19340327 ")</f>
        <v xml:space="preserve">http://slimages.macys.com/is/image/MCY/19340327 </v>
      </c>
    </row>
    <row r="220" spans="1:11" ht="20.100000000000001" customHeight="1" x14ac:dyDescent="0.25">
      <c r="A220" s="7" t="s">
        <v>963</v>
      </c>
      <c r="B220" s="20">
        <v>13815672</v>
      </c>
      <c r="C220" s="8">
        <v>733004909498</v>
      </c>
      <c r="D220" s="6" t="s">
        <v>1147</v>
      </c>
      <c r="E220" s="7">
        <v>1</v>
      </c>
      <c r="F220" s="9">
        <v>99.99</v>
      </c>
      <c r="G220" s="21">
        <v>99.99</v>
      </c>
      <c r="H220" s="7" t="s">
        <v>698</v>
      </c>
      <c r="I220" s="7" t="s">
        <v>808</v>
      </c>
      <c r="J220" s="7" t="s">
        <v>809</v>
      </c>
      <c r="K220" s="7" t="str">
        <f>HYPERLINK("http://slimages.macys.com/is/image/MCY/1074745 ")</f>
        <v xml:space="preserve">http://slimages.macys.com/is/image/MCY/1074745 </v>
      </c>
    </row>
    <row r="221" spans="1:11" ht="20.100000000000001" customHeight="1" x14ac:dyDescent="0.25">
      <c r="A221" s="7" t="s">
        <v>963</v>
      </c>
      <c r="B221" s="20">
        <v>13815672</v>
      </c>
      <c r="C221" s="8">
        <v>734737422988</v>
      </c>
      <c r="D221" s="6" t="s">
        <v>1148</v>
      </c>
      <c r="E221" s="7">
        <v>1</v>
      </c>
      <c r="F221" s="9">
        <v>49.99</v>
      </c>
      <c r="G221" s="21">
        <v>49.99</v>
      </c>
      <c r="H221" s="7" t="s">
        <v>704</v>
      </c>
      <c r="I221" s="7" t="s">
        <v>672</v>
      </c>
      <c r="J221" s="7" t="s">
        <v>696</v>
      </c>
      <c r="K221" s="7" t="str">
        <f>HYPERLINK("http://slimages.macys.com/is/image/MCY/8347198 ")</f>
        <v xml:space="preserve">http://slimages.macys.com/is/image/MCY/8347198 </v>
      </c>
    </row>
    <row r="222" spans="1:11" ht="20.100000000000001" customHeight="1" x14ac:dyDescent="0.25">
      <c r="A222" s="7" t="s">
        <v>963</v>
      </c>
      <c r="B222" s="20">
        <v>13815672</v>
      </c>
      <c r="C222" s="8">
        <v>734737425873</v>
      </c>
      <c r="D222" s="6" t="s">
        <v>1149</v>
      </c>
      <c r="E222" s="7">
        <v>1</v>
      </c>
      <c r="F222" s="9">
        <v>24.99</v>
      </c>
      <c r="G222" s="21">
        <v>24.99</v>
      </c>
      <c r="H222" s="7" t="s">
        <v>668</v>
      </c>
      <c r="I222" s="7" t="s">
        <v>723</v>
      </c>
      <c r="J222" s="7" t="s">
        <v>840</v>
      </c>
      <c r="K222" s="7" t="str">
        <f>HYPERLINK("http://slimages.macys.com/is/image/MCY/3073694 ")</f>
        <v xml:space="preserve">http://slimages.macys.com/is/image/MCY/3073694 </v>
      </c>
    </row>
    <row r="223" spans="1:11" ht="20.100000000000001" customHeight="1" x14ac:dyDescent="0.25">
      <c r="A223" s="7" t="s">
        <v>963</v>
      </c>
      <c r="B223" s="20">
        <v>13815672</v>
      </c>
      <c r="C223" s="8">
        <v>734737425873</v>
      </c>
      <c r="D223" s="6" t="s">
        <v>1149</v>
      </c>
      <c r="E223" s="7">
        <v>1</v>
      </c>
      <c r="F223" s="9">
        <v>24.99</v>
      </c>
      <c r="G223" s="21">
        <v>24.99</v>
      </c>
      <c r="H223" s="7" t="s">
        <v>668</v>
      </c>
      <c r="I223" s="7" t="s">
        <v>723</v>
      </c>
      <c r="J223" s="7" t="s">
        <v>840</v>
      </c>
      <c r="K223" s="7" t="str">
        <f>HYPERLINK("http://slimages.macys.com/is/image/MCY/3073694 ")</f>
        <v xml:space="preserve">http://slimages.macys.com/is/image/MCY/3073694 </v>
      </c>
    </row>
    <row r="224" spans="1:11" ht="20.100000000000001" customHeight="1" x14ac:dyDescent="0.25">
      <c r="A224" s="7" t="s">
        <v>963</v>
      </c>
      <c r="B224" s="20">
        <v>13815672</v>
      </c>
      <c r="C224" s="8">
        <v>734737485648</v>
      </c>
      <c r="D224" s="6" t="s">
        <v>1150</v>
      </c>
      <c r="E224" s="7">
        <v>2</v>
      </c>
      <c r="F224" s="9">
        <v>49.99</v>
      </c>
      <c r="G224" s="21">
        <v>99.98</v>
      </c>
      <c r="H224" s="7" t="s">
        <v>676</v>
      </c>
      <c r="I224" s="7" t="s">
        <v>672</v>
      </c>
      <c r="J224" s="7" t="s">
        <v>696</v>
      </c>
      <c r="K224" s="7" t="str">
        <f>HYPERLINK("http://slimages.macys.com/is/image/MCY/8347198 ")</f>
        <v xml:space="preserve">http://slimages.macys.com/is/image/MCY/8347198 </v>
      </c>
    </row>
    <row r="225" spans="1:11" ht="20.100000000000001" customHeight="1" x14ac:dyDescent="0.25">
      <c r="A225" s="7" t="s">
        <v>963</v>
      </c>
      <c r="B225" s="20">
        <v>13815672</v>
      </c>
      <c r="C225" s="8">
        <v>734737532724</v>
      </c>
      <c r="D225" s="6" t="s">
        <v>697</v>
      </c>
      <c r="E225" s="7">
        <v>1</v>
      </c>
      <c r="F225" s="9">
        <v>49.99</v>
      </c>
      <c r="G225" s="21">
        <v>49.99</v>
      </c>
      <c r="H225" s="7" t="s">
        <v>668</v>
      </c>
      <c r="I225" s="7" t="s">
        <v>672</v>
      </c>
      <c r="J225" s="7" t="s">
        <v>696</v>
      </c>
      <c r="K225" s="7" t="str">
        <f>HYPERLINK("http://slimages.macys.com/is/image/MCY/9330026 ")</f>
        <v xml:space="preserve">http://slimages.macys.com/is/image/MCY/9330026 </v>
      </c>
    </row>
    <row r="226" spans="1:11" ht="20.100000000000001" customHeight="1" x14ac:dyDescent="0.25">
      <c r="A226" s="7" t="s">
        <v>963</v>
      </c>
      <c r="B226" s="20">
        <v>13815672</v>
      </c>
      <c r="C226" s="8">
        <v>734737534827</v>
      </c>
      <c r="D226" s="6" t="s">
        <v>1151</v>
      </c>
      <c r="E226" s="7">
        <v>1</v>
      </c>
      <c r="F226" s="9">
        <v>3.99</v>
      </c>
      <c r="G226" s="21">
        <v>3.99</v>
      </c>
      <c r="H226" s="7" t="s">
        <v>668</v>
      </c>
      <c r="I226" s="7" t="s">
        <v>752</v>
      </c>
      <c r="J226" s="7" t="s">
        <v>696</v>
      </c>
      <c r="K226" s="7" t="str">
        <f>HYPERLINK("http://slimages.macys.com/is/image/MCY/13909845 ")</f>
        <v xml:space="preserve">http://slimages.macys.com/is/image/MCY/13909845 </v>
      </c>
    </row>
    <row r="227" spans="1:11" ht="20.100000000000001" customHeight="1" x14ac:dyDescent="0.25">
      <c r="A227" s="7" t="s">
        <v>963</v>
      </c>
      <c r="B227" s="20">
        <v>13815672</v>
      </c>
      <c r="C227" s="8">
        <v>734737552395</v>
      </c>
      <c r="D227" s="6" t="s">
        <v>761</v>
      </c>
      <c r="E227" s="7">
        <v>1</v>
      </c>
      <c r="F227" s="9">
        <v>29.99</v>
      </c>
      <c r="G227" s="21">
        <v>29.99</v>
      </c>
      <c r="H227" s="7" t="s">
        <v>704</v>
      </c>
      <c r="I227" s="7" t="s">
        <v>672</v>
      </c>
      <c r="J227" s="7" t="s">
        <v>696</v>
      </c>
      <c r="K227" s="7" t="str">
        <f>HYPERLINK("http://slimages.macys.com/is/image/MCY/9700679 ")</f>
        <v xml:space="preserve">http://slimages.macys.com/is/image/MCY/9700679 </v>
      </c>
    </row>
    <row r="228" spans="1:11" ht="20.100000000000001" customHeight="1" x14ac:dyDescent="0.25">
      <c r="A228" s="7" t="s">
        <v>963</v>
      </c>
      <c r="B228" s="20">
        <v>13815672</v>
      </c>
      <c r="C228" s="8">
        <v>734737558397</v>
      </c>
      <c r="D228" s="6" t="s">
        <v>1152</v>
      </c>
      <c r="E228" s="7">
        <v>1</v>
      </c>
      <c r="F228" s="9">
        <v>49.99</v>
      </c>
      <c r="G228" s="21">
        <v>49.99</v>
      </c>
      <c r="H228" s="7" t="s">
        <v>717</v>
      </c>
      <c r="I228" s="7" t="s">
        <v>672</v>
      </c>
      <c r="J228" s="7" t="s">
        <v>696</v>
      </c>
      <c r="K228" s="7" t="str">
        <f>HYPERLINK("http://slimages.macys.com/is/image/MCY/8347198 ")</f>
        <v xml:space="preserve">http://slimages.macys.com/is/image/MCY/8347198 </v>
      </c>
    </row>
    <row r="229" spans="1:11" ht="20.100000000000001" customHeight="1" x14ac:dyDescent="0.25">
      <c r="A229" s="7" t="s">
        <v>963</v>
      </c>
      <c r="B229" s="20">
        <v>13815672</v>
      </c>
      <c r="C229" s="8">
        <v>734737635593</v>
      </c>
      <c r="D229" s="6" t="s">
        <v>1153</v>
      </c>
      <c r="E229" s="7">
        <v>1</v>
      </c>
      <c r="F229" s="9">
        <v>49.99</v>
      </c>
      <c r="G229" s="21">
        <v>49.99</v>
      </c>
      <c r="H229" s="7" t="s">
        <v>707</v>
      </c>
      <c r="I229" s="7" t="s">
        <v>672</v>
      </c>
      <c r="J229" s="7" t="s">
        <v>696</v>
      </c>
      <c r="K229" s="7" t="str">
        <f>HYPERLINK("http://slimages.macys.com/is/image/MCY/16688629 ")</f>
        <v xml:space="preserve">http://slimages.macys.com/is/image/MCY/16688629 </v>
      </c>
    </row>
    <row r="230" spans="1:11" ht="20.100000000000001" customHeight="1" x14ac:dyDescent="0.25">
      <c r="A230" s="7" t="s">
        <v>963</v>
      </c>
      <c r="B230" s="20">
        <v>13815672</v>
      </c>
      <c r="C230" s="8">
        <v>734737637368</v>
      </c>
      <c r="D230" s="6" t="s">
        <v>882</v>
      </c>
      <c r="E230" s="7">
        <v>1</v>
      </c>
      <c r="F230" s="9">
        <v>49.99</v>
      </c>
      <c r="G230" s="21">
        <v>49.99</v>
      </c>
      <c r="H230" s="7" t="s">
        <v>668</v>
      </c>
      <c r="I230" s="7" t="s">
        <v>666</v>
      </c>
      <c r="J230" s="7" t="s">
        <v>696</v>
      </c>
      <c r="K230" s="7" t="str">
        <f>HYPERLINK("http://slimages.macys.com/is/image/MCY/17191784 ")</f>
        <v xml:space="preserve">http://slimages.macys.com/is/image/MCY/17191784 </v>
      </c>
    </row>
    <row r="231" spans="1:11" ht="20.100000000000001" customHeight="1" x14ac:dyDescent="0.25">
      <c r="A231" s="7" t="s">
        <v>963</v>
      </c>
      <c r="B231" s="20">
        <v>13815672</v>
      </c>
      <c r="C231" s="8">
        <v>734737637375</v>
      </c>
      <c r="D231" s="6" t="s">
        <v>1154</v>
      </c>
      <c r="E231" s="7">
        <v>1</v>
      </c>
      <c r="F231" s="9">
        <v>49.99</v>
      </c>
      <c r="G231" s="21">
        <v>49.99</v>
      </c>
      <c r="H231" s="7" t="s">
        <v>668</v>
      </c>
      <c r="I231" s="7" t="s">
        <v>666</v>
      </c>
      <c r="J231" s="7" t="s">
        <v>696</v>
      </c>
      <c r="K231" s="7" t="str">
        <f>HYPERLINK("http://slimages.macys.com/is/image/MCY/17191785 ")</f>
        <v xml:space="preserve">http://slimages.macys.com/is/image/MCY/17191785 </v>
      </c>
    </row>
    <row r="232" spans="1:11" ht="20.100000000000001" customHeight="1" x14ac:dyDescent="0.25">
      <c r="A232" s="7" t="s">
        <v>963</v>
      </c>
      <c r="B232" s="20">
        <v>13815672</v>
      </c>
      <c r="C232" s="8">
        <v>734737637443</v>
      </c>
      <c r="D232" s="6" t="s">
        <v>1155</v>
      </c>
      <c r="E232" s="7">
        <v>1</v>
      </c>
      <c r="F232" s="9">
        <v>49.99</v>
      </c>
      <c r="G232" s="21">
        <v>49.99</v>
      </c>
      <c r="H232" s="7" t="s">
        <v>677</v>
      </c>
      <c r="I232" s="7" t="s">
        <v>666</v>
      </c>
      <c r="J232" s="7" t="s">
        <v>696</v>
      </c>
      <c r="K232" s="7" t="str">
        <f>HYPERLINK("http://slimages.macys.com/is/image/MCY/17191782 ")</f>
        <v xml:space="preserve">http://slimages.macys.com/is/image/MCY/17191782 </v>
      </c>
    </row>
    <row r="233" spans="1:11" ht="20.100000000000001" customHeight="1" x14ac:dyDescent="0.25">
      <c r="A233" s="7" t="s">
        <v>963</v>
      </c>
      <c r="B233" s="20">
        <v>13815672</v>
      </c>
      <c r="C233" s="8">
        <v>734737637573</v>
      </c>
      <c r="D233" s="6" t="s">
        <v>1156</v>
      </c>
      <c r="E233" s="7">
        <v>1</v>
      </c>
      <c r="F233" s="9">
        <v>49.99</v>
      </c>
      <c r="G233" s="21">
        <v>49.99</v>
      </c>
      <c r="H233" s="7" t="s">
        <v>704</v>
      </c>
      <c r="I233" s="7" t="s">
        <v>666</v>
      </c>
      <c r="J233" s="7" t="s">
        <v>696</v>
      </c>
      <c r="K233" s="7" t="str">
        <f>HYPERLINK("http://slimages.macys.com/is/image/MCY/17191784 ")</f>
        <v xml:space="preserve">http://slimages.macys.com/is/image/MCY/17191784 </v>
      </c>
    </row>
    <row r="234" spans="1:11" ht="20.100000000000001" customHeight="1" x14ac:dyDescent="0.25">
      <c r="A234" s="7" t="s">
        <v>963</v>
      </c>
      <c r="B234" s="20">
        <v>13815672</v>
      </c>
      <c r="C234" s="8">
        <v>734737637689</v>
      </c>
      <c r="D234" s="6" t="s">
        <v>1155</v>
      </c>
      <c r="E234" s="7">
        <v>1</v>
      </c>
      <c r="F234" s="9">
        <v>54.99</v>
      </c>
      <c r="G234" s="21">
        <v>54.99</v>
      </c>
      <c r="H234" s="7" t="s">
        <v>677</v>
      </c>
      <c r="I234" s="7" t="s">
        <v>666</v>
      </c>
      <c r="J234" s="7" t="s">
        <v>696</v>
      </c>
      <c r="K234" s="7" t="str">
        <f>HYPERLINK("http://slimages.macys.com/is/image/MCY/17191601 ")</f>
        <v xml:space="preserve">http://slimages.macys.com/is/image/MCY/17191601 </v>
      </c>
    </row>
    <row r="235" spans="1:11" ht="20.100000000000001" customHeight="1" x14ac:dyDescent="0.25">
      <c r="A235" s="7" t="s">
        <v>963</v>
      </c>
      <c r="B235" s="20">
        <v>13815672</v>
      </c>
      <c r="C235" s="8">
        <v>734737671409</v>
      </c>
      <c r="D235" s="6" t="s">
        <v>1157</v>
      </c>
      <c r="E235" s="7">
        <v>1</v>
      </c>
      <c r="F235" s="9">
        <v>29.99</v>
      </c>
      <c r="G235" s="21">
        <v>29.99</v>
      </c>
      <c r="H235" s="7" t="s">
        <v>688</v>
      </c>
      <c r="I235" s="7" t="s">
        <v>672</v>
      </c>
      <c r="J235" s="7" t="s">
        <v>696</v>
      </c>
      <c r="K235" s="7" t="str">
        <f>HYPERLINK("http://slimages.macys.com/is/image/MCY/18591782 ")</f>
        <v xml:space="preserve">http://slimages.macys.com/is/image/MCY/18591782 </v>
      </c>
    </row>
    <row r="236" spans="1:11" ht="20.100000000000001" customHeight="1" x14ac:dyDescent="0.25">
      <c r="A236" s="7" t="s">
        <v>963</v>
      </c>
      <c r="B236" s="20">
        <v>13815672</v>
      </c>
      <c r="C236" s="8">
        <v>735732011566</v>
      </c>
      <c r="D236" s="6" t="s">
        <v>1158</v>
      </c>
      <c r="E236" s="7">
        <v>1</v>
      </c>
      <c r="F236" s="9">
        <v>9.99</v>
      </c>
      <c r="G236" s="21">
        <v>9.99</v>
      </c>
      <c r="H236" s="7" t="s">
        <v>677</v>
      </c>
      <c r="I236" s="7" t="s">
        <v>674</v>
      </c>
      <c r="J236" s="7" t="s">
        <v>925</v>
      </c>
      <c r="K236" s="7" t="str">
        <f>HYPERLINK("http://slimages.macys.com/is/image/MCY/18989546 ")</f>
        <v xml:space="preserve">http://slimages.macys.com/is/image/MCY/18989546 </v>
      </c>
    </row>
    <row r="237" spans="1:11" ht="20.100000000000001" customHeight="1" x14ac:dyDescent="0.25">
      <c r="A237" s="7" t="s">
        <v>963</v>
      </c>
      <c r="B237" s="20">
        <v>13815672</v>
      </c>
      <c r="C237" s="8">
        <v>735732053382</v>
      </c>
      <c r="D237" s="6" t="s">
        <v>1159</v>
      </c>
      <c r="E237" s="7">
        <v>1</v>
      </c>
      <c r="F237" s="9">
        <v>47.99</v>
      </c>
      <c r="G237" s="21">
        <v>47.99</v>
      </c>
      <c r="H237" s="7" t="s">
        <v>745</v>
      </c>
      <c r="I237" s="7" t="s">
        <v>674</v>
      </c>
      <c r="J237" s="7" t="s">
        <v>925</v>
      </c>
      <c r="K237" s="7" t="str">
        <f>HYPERLINK("http://slimages.macys.com/is/image/MCY/9976587 ")</f>
        <v xml:space="preserve">http://slimages.macys.com/is/image/MCY/9976587 </v>
      </c>
    </row>
    <row r="238" spans="1:11" ht="20.100000000000001" customHeight="1" x14ac:dyDescent="0.25">
      <c r="A238" s="7" t="s">
        <v>963</v>
      </c>
      <c r="B238" s="20">
        <v>13815672</v>
      </c>
      <c r="C238" s="8">
        <v>735732089893</v>
      </c>
      <c r="D238" s="6" t="s">
        <v>1160</v>
      </c>
      <c r="E238" s="7">
        <v>1</v>
      </c>
      <c r="F238" s="9">
        <v>34.99</v>
      </c>
      <c r="G238" s="21">
        <v>34.99</v>
      </c>
      <c r="H238" s="7" t="s">
        <v>671</v>
      </c>
      <c r="I238" s="7" t="s">
        <v>682</v>
      </c>
      <c r="J238" s="7" t="s">
        <v>868</v>
      </c>
      <c r="K238" s="7" t="str">
        <f>HYPERLINK("http://slimages.macys.com/is/image/MCY/14371933 ")</f>
        <v xml:space="preserve">http://slimages.macys.com/is/image/MCY/14371933 </v>
      </c>
    </row>
    <row r="239" spans="1:11" ht="20.100000000000001" customHeight="1" x14ac:dyDescent="0.25">
      <c r="A239" s="7" t="s">
        <v>963</v>
      </c>
      <c r="B239" s="20">
        <v>13815672</v>
      </c>
      <c r="C239" s="8">
        <v>735732106477</v>
      </c>
      <c r="D239" s="6" t="s">
        <v>1161</v>
      </c>
      <c r="E239" s="7">
        <v>1</v>
      </c>
      <c r="F239" s="9">
        <v>24.99</v>
      </c>
      <c r="G239" s="21">
        <v>24.99</v>
      </c>
      <c r="H239" s="7" t="s">
        <v>671</v>
      </c>
      <c r="I239" s="7" t="s">
        <v>674</v>
      </c>
      <c r="J239" s="7" t="s">
        <v>925</v>
      </c>
      <c r="K239" s="7" t="str">
        <f>HYPERLINK("http://slimages.macys.com/is/image/MCY/3250787 ")</f>
        <v xml:space="preserve">http://slimages.macys.com/is/image/MCY/3250787 </v>
      </c>
    </row>
    <row r="240" spans="1:11" ht="20.100000000000001" customHeight="1" x14ac:dyDescent="0.25">
      <c r="A240" s="7" t="s">
        <v>963</v>
      </c>
      <c r="B240" s="20">
        <v>13815672</v>
      </c>
      <c r="C240" s="8">
        <v>735732116483</v>
      </c>
      <c r="D240" s="6" t="s">
        <v>1162</v>
      </c>
      <c r="E240" s="7">
        <v>1</v>
      </c>
      <c r="F240" s="9">
        <v>47.99</v>
      </c>
      <c r="G240" s="21">
        <v>47.99</v>
      </c>
      <c r="H240" s="7" t="s">
        <v>768</v>
      </c>
      <c r="I240" s="7" t="s">
        <v>674</v>
      </c>
      <c r="J240" s="7" t="s">
        <v>925</v>
      </c>
      <c r="K240" s="7" t="str">
        <f>HYPERLINK("http://slimages.macys.com/is/image/MCY/10034659 ")</f>
        <v xml:space="preserve">http://slimages.macys.com/is/image/MCY/10034659 </v>
      </c>
    </row>
    <row r="241" spans="1:11" ht="20.100000000000001" customHeight="1" x14ac:dyDescent="0.25">
      <c r="A241" s="7" t="s">
        <v>963</v>
      </c>
      <c r="B241" s="20">
        <v>13815672</v>
      </c>
      <c r="C241" s="8">
        <v>735732236815</v>
      </c>
      <c r="D241" s="6" t="s">
        <v>1163</v>
      </c>
      <c r="E241" s="7">
        <v>2</v>
      </c>
      <c r="F241" s="9">
        <v>25.99</v>
      </c>
      <c r="G241" s="21">
        <v>51.98</v>
      </c>
      <c r="H241" s="7" t="s">
        <v>671</v>
      </c>
      <c r="I241" s="7" t="s">
        <v>682</v>
      </c>
      <c r="J241" s="7" t="s">
        <v>868</v>
      </c>
      <c r="K241" s="7" t="str">
        <f>HYPERLINK("http://slimages.macys.com/is/image/MCY/19038699 ")</f>
        <v xml:space="preserve">http://slimages.macys.com/is/image/MCY/19038699 </v>
      </c>
    </row>
    <row r="242" spans="1:11" ht="20.100000000000001" customHeight="1" x14ac:dyDescent="0.25">
      <c r="A242" s="7" t="s">
        <v>963</v>
      </c>
      <c r="B242" s="20">
        <v>13815672</v>
      </c>
      <c r="C242" s="8">
        <v>735732247378</v>
      </c>
      <c r="D242" s="6" t="s">
        <v>1164</v>
      </c>
      <c r="E242" s="7">
        <v>1</v>
      </c>
      <c r="F242" s="9">
        <v>9.99</v>
      </c>
      <c r="G242" s="21">
        <v>9.99</v>
      </c>
      <c r="H242" s="7" t="s">
        <v>704</v>
      </c>
      <c r="I242" s="7" t="s">
        <v>674</v>
      </c>
      <c r="J242" s="7" t="s">
        <v>925</v>
      </c>
      <c r="K242" s="7" t="str">
        <f>HYPERLINK("http://slimages.macys.com/is/image/MCY/17995889 ")</f>
        <v xml:space="preserve">http://slimages.macys.com/is/image/MCY/17995889 </v>
      </c>
    </row>
    <row r="243" spans="1:11" ht="20.100000000000001" customHeight="1" x14ac:dyDescent="0.25">
      <c r="A243" s="7" t="s">
        <v>963</v>
      </c>
      <c r="B243" s="20">
        <v>13815672</v>
      </c>
      <c r="C243" s="8">
        <v>735732405273</v>
      </c>
      <c r="D243" s="6" t="s">
        <v>1165</v>
      </c>
      <c r="E243" s="7">
        <v>1</v>
      </c>
      <c r="F243" s="9">
        <v>15.99</v>
      </c>
      <c r="G243" s="21">
        <v>15.99</v>
      </c>
      <c r="H243" s="7"/>
      <c r="I243" s="7" t="s">
        <v>682</v>
      </c>
      <c r="J243" s="7" t="s">
        <v>868</v>
      </c>
      <c r="K243" s="7" t="str">
        <f>HYPERLINK("http://slimages.macys.com/is/image/MCY/19038925 ")</f>
        <v xml:space="preserve">http://slimages.macys.com/is/image/MCY/19038925 </v>
      </c>
    </row>
    <row r="244" spans="1:11" ht="20.100000000000001" customHeight="1" x14ac:dyDescent="0.25">
      <c r="A244" s="7" t="s">
        <v>963</v>
      </c>
      <c r="B244" s="20">
        <v>13815672</v>
      </c>
      <c r="C244" s="8">
        <v>735837077498</v>
      </c>
      <c r="D244" s="6" t="s">
        <v>1166</v>
      </c>
      <c r="E244" s="7">
        <v>1</v>
      </c>
      <c r="F244" s="9">
        <v>109.99</v>
      </c>
      <c r="G244" s="21">
        <v>109.99</v>
      </c>
      <c r="H244" s="7" t="s">
        <v>714</v>
      </c>
      <c r="I244" s="7" t="s">
        <v>777</v>
      </c>
      <c r="J244" s="7" t="s">
        <v>838</v>
      </c>
      <c r="K244" s="7" t="str">
        <f>HYPERLINK("http://slimages.macys.com/is/image/MCY/1067172 ")</f>
        <v xml:space="preserve">http://slimages.macys.com/is/image/MCY/1067172 </v>
      </c>
    </row>
    <row r="245" spans="1:11" ht="20.100000000000001" customHeight="1" x14ac:dyDescent="0.25">
      <c r="A245" s="7" t="s">
        <v>963</v>
      </c>
      <c r="B245" s="20">
        <v>13815672</v>
      </c>
      <c r="C245" s="8">
        <v>735837574157</v>
      </c>
      <c r="D245" s="6" t="s">
        <v>852</v>
      </c>
      <c r="E245" s="7">
        <v>1</v>
      </c>
      <c r="F245" s="9">
        <v>339.99</v>
      </c>
      <c r="G245" s="21">
        <v>339.99</v>
      </c>
      <c r="H245" s="7" t="s">
        <v>668</v>
      </c>
      <c r="I245" s="7" t="s">
        <v>730</v>
      </c>
      <c r="J245" s="7" t="s">
        <v>838</v>
      </c>
      <c r="K245" s="7" t="str">
        <f>HYPERLINK("http://slimages.macys.com/is/image/MCY/3969345 ")</f>
        <v xml:space="preserve">http://slimages.macys.com/is/image/MCY/3969345 </v>
      </c>
    </row>
    <row r="246" spans="1:11" ht="20.100000000000001" customHeight="1" x14ac:dyDescent="0.25">
      <c r="A246" s="7" t="s">
        <v>963</v>
      </c>
      <c r="B246" s="20">
        <v>13815672</v>
      </c>
      <c r="C246" s="8">
        <v>735837574218</v>
      </c>
      <c r="D246" s="6" t="s">
        <v>1167</v>
      </c>
      <c r="E246" s="7">
        <v>1</v>
      </c>
      <c r="F246" s="9">
        <v>539.99</v>
      </c>
      <c r="G246" s="21">
        <v>539.99</v>
      </c>
      <c r="H246" s="7" t="s">
        <v>668</v>
      </c>
      <c r="I246" s="7" t="s">
        <v>730</v>
      </c>
      <c r="J246" s="7" t="s">
        <v>838</v>
      </c>
      <c r="K246" s="7" t="str">
        <f>HYPERLINK("http://slimages.macys.com/is/image/MCY/3974563 ")</f>
        <v xml:space="preserve">http://slimages.macys.com/is/image/MCY/3974563 </v>
      </c>
    </row>
    <row r="247" spans="1:11" ht="20.100000000000001" customHeight="1" x14ac:dyDescent="0.25">
      <c r="A247" s="7" t="s">
        <v>963</v>
      </c>
      <c r="B247" s="20">
        <v>13815672</v>
      </c>
      <c r="C247" s="8">
        <v>735837574263</v>
      </c>
      <c r="D247" s="6" t="s">
        <v>1168</v>
      </c>
      <c r="E247" s="7">
        <v>1</v>
      </c>
      <c r="F247" s="9">
        <v>189.99</v>
      </c>
      <c r="G247" s="21">
        <v>189.99</v>
      </c>
      <c r="H247" s="7" t="s">
        <v>668</v>
      </c>
      <c r="I247" s="7" t="s">
        <v>777</v>
      </c>
      <c r="J247" s="7" t="s">
        <v>838</v>
      </c>
      <c r="K247" s="7" t="str">
        <f>HYPERLINK("http://slimages.macys.com/is/image/MCY/3962581 ")</f>
        <v xml:space="preserve">http://slimages.macys.com/is/image/MCY/3962581 </v>
      </c>
    </row>
    <row r="248" spans="1:11" ht="20.100000000000001" customHeight="1" x14ac:dyDescent="0.25">
      <c r="A248" s="7" t="s">
        <v>963</v>
      </c>
      <c r="B248" s="20">
        <v>13815672</v>
      </c>
      <c r="C248" s="8">
        <v>739550350708</v>
      </c>
      <c r="D248" s="6" t="s">
        <v>1169</v>
      </c>
      <c r="E248" s="7">
        <v>2</v>
      </c>
      <c r="F248" s="9">
        <v>11.99</v>
      </c>
      <c r="G248" s="21">
        <v>23.98</v>
      </c>
      <c r="H248" s="7" t="s">
        <v>745</v>
      </c>
      <c r="I248" s="7" t="s">
        <v>674</v>
      </c>
      <c r="J248" s="7" t="s">
        <v>699</v>
      </c>
      <c r="K248" s="7" t="str">
        <f>HYPERLINK("http://slimages.macys.com/is/image/MCY/16495442 ")</f>
        <v xml:space="preserve">http://slimages.macys.com/is/image/MCY/16495442 </v>
      </c>
    </row>
    <row r="249" spans="1:11" ht="20.100000000000001" customHeight="1" x14ac:dyDescent="0.25">
      <c r="A249" s="7" t="s">
        <v>963</v>
      </c>
      <c r="B249" s="20">
        <v>13815672</v>
      </c>
      <c r="C249" s="8">
        <v>746885369527</v>
      </c>
      <c r="D249" s="6" t="s">
        <v>1170</v>
      </c>
      <c r="E249" s="7">
        <v>3</v>
      </c>
      <c r="F249" s="9">
        <v>11.99</v>
      </c>
      <c r="G249" s="21">
        <v>35.97</v>
      </c>
      <c r="H249" s="7" t="s">
        <v>668</v>
      </c>
      <c r="I249" s="7" t="s">
        <v>674</v>
      </c>
      <c r="J249" s="7" t="s">
        <v>955</v>
      </c>
      <c r="K249" s="7" t="str">
        <f>HYPERLINK("http://slimages.macys.com/is/image/MCY/2075013 ")</f>
        <v xml:space="preserve">http://slimages.macys.com/is/image/MCY/2075013 </v>
      </c>
    </row>
    <row r="250" spans="1:11" ht="20.100000000000001" customHeight="1" x14ac:dyDescent="0.25">
      <c r="A250" s="7" t="s">
        <v>963</v>
      </c>
      <c r="B250" s="20">
        <v>13815672</v>
      </c>
      <c r="C250" s="8">
        <v>750105104447</v>
      </c>
      <c r="D250" s="6" t="s">
        <v>1171</v>
      </c>
      <c r="E250" s="7">
        <v>1</v>
      </c>
      <c r="F250" s="9">
        <v>84.99</v>
      </c>
      <c r="G250" s="21">
        <v>84.99</v>
      </c>
      <c r="H250" s="7" t="s">
        <v>677</v>
      </c>
      <c r="I250" s="7" t="s">
        <v>777</v>
      </c>
      <c r="J250" s="7" t="s">
        <v>800</v>
      </c>
      <c r="K250" s="7" t="str">
        <f>HYPERLINK("http://slimages.macys.com/is/image/MCY/180745 ")</f>
        <v xml:space="preserve">http://slimages.macys.com/is/image/MCY/180745 </v>
      </c>
    </row>
    <row r="251" spans="1:11" ht="20.100000000000001" customHeight="1" x14ac:dyDescent="0.25">
      <c r="A251" s="7" t="s">
        <v>963</v>
      </c>
      <c r="B251" s="20">
        <v>13815672</v>
      </c>
      <c r="C251" s="8">
        <v>750105134376</v>
      </c>
      <c r="D251" s="6" t="s">
        <v>1172</v>
      </c>
      <c r="E251" s="7">
        <v>1</v>
      </c>
      <c r="F251" s="9">
        <v>149.99</v>
      </c>
      <c r="G251" s="21">
        <v>149.99</v>
      </c>
      <c r="H251" s="7" t="s">
        <v>668</v>
      </c>
      <c r="I251" s="7" t="s">
        <v>730</v>
      </c>
      <c r="J251" s="7" t="s">
        <v>800</v>
      </c>
      <c r="K251" s="7" t="str">
        <f>HYPERLINK("http://slimages.macys.com/is/image/MCY/3962569 ")</f>
        <v xml:space="preserve">http://slimages.macys.com/is/image/MCY/3962569 </v>
      </c>
    </row>
    <row r="252" spans="1:11" ht="20.100000000000001" customHeight="1" x14ac:dyDescent="0.25">
      <c r="A252" s="7" t="s">
        <v>963</v>
      </c>
      <c r="B252" s="20">
        <v>13815672</v>
      </c>
      <c r="C252" s="8">
        <v>750105134406</v>
      </c>
      <c r="D252" s="6" t="s">
        <v>1173</v>
      </c>
      <c r="E252" s="7">
        <v>1</v>
      </c>
      <c r="F252" s="9">
        <v>264.99</v>
      </c>
      <c r="G252" s="21">
        <v>264.99</v>
      </c>
      <c r="H252" s="7" t="s">
        <v>668</v>
      </c>
      <c r="I252" s="7" t="s">
        <v>730</v>
      </c>
      <c r="J252" s="7" t="s">
        <v>800</v>
      </c>
      <c r="K252" s="7" t="str">
        <f>HYPERLINK("http://slimages.macys.com/is/image/MCY/3974561 ")</f>
        <v xml:space="preserve">http://slimages.macys.com/is/image/MCY/3974561 </v>
      </c>
    </row>
    <row r="253" spans="1:11" ht="20.100000000000001" customHeight="1" x14ac:dyDescent="0.25">
      <c r="A253" s="7" t="s">
        <v>963</v>
      </c>
      <c r="B253" s="20">
        <v>13815672</v>
      </c>
      <c r="C253" s="8">
        <v>750105134413</v>
      </c>
      <c r="D253" s="6" t="s">
        <v>1174</v>
      </c>
      <c r="E253" s="7">
        <v>1</v>
      </c>
      <c r="F253" s="9">
        <v>199.99</v>
      </c>
      <c r="G253" s="21">
        <v>199.99</v>
      </c>
      <c r="H253" s="7" t="s">
        <v>668</v>
      </c>
      <c r="I253" s="7" t="s">
        <v>730</v>
      </c>
      <c r="J253" s="7" t="s">
        <v>800</v>
      </c>
      <c r="K253" s="7" t="str">
        <f>HYPERLINK("http://slimages.macys.com/is/image/MCY/3962568 ")</f>
        <v xml:space="preserve">http://slimages.macys.com/is/image/MCY/3962568 </v>
      </c>
    </row>
    <row r="254" spans="1:11" ht="20.100000000000001" customHeight="1" x14ac:dyDescent="0.25">
      <c r="A254" s="7" t="s">
        <v>963</v>
      </c>
      <c r="B254" s="20">
        <v>13815672</v>
      </c>
      <c r="C254" s="8">
        <v>750105134444</v>
      </c>
      <c r="D254" s="6" t="s">
        <v>853</v>
      </c>
      <c r="E254" s="7">
        <v>1</v>
      </c>
      <c r="F254" s="9">
        <v>314.99</v>
      </c>
      <c r="G254" s="21">
        <v>314.99</v>
      </c>
      <c r="H254" s="7" t="s">
        <v>668</v>
      </c>
      <c r="I254" s="7" t="s">
        <v>730</v>
      </c>
      <c r="J254" s="7" t="s">
        <v>800</v>
      </c>
      <c r="K254" s="7" t="str">
        <f>HYPERLINK("http://slimages.macys.com/is/image/MCY/3974561 ")</f>
        <v xml:space="preserve">http://slimages.macys.com/is/image/MCY/3974561 </v>
      </c>
    </row>
    <row r="255" spans="1:11" ht="20.100000000000001" customHeight="1" x14ac:dyDescent="0.25">
      <c r="A255" s="7" t="s">
        <v>963</v>
      </c>
      <c r="B255" s="20">
        <v>13815672</v>
      </c>
      <c r="C255" s="8">
        <v>750105141435</v>
      </c>
      <c r="D255" s="6" t="s">
        <v>857</v>
      </c>
      <c r="E255" s="7">
        <v>1</v>
      </c>
      <c r="F255" s="9">
        <v>189.99</v>
      </c>
      <c r="G255" s="21">
        <v>189.99</v>
      </c>
      <c r="H255" s="7" t="s">
        <v>668</v>
      </c>
      <c r="I255" s="7" t="s">
        <v>730</v>
      </c>
      <c r="J255" s="7" t="s">
        <v>843</v>
      </c>
      <c r="K255" s="7" t="str">
        <f>HYPERLINK("http://slimages.macys.com/is/image/MCY/11935772 ")</f>
        <v xml:space="preserve">http://slimages.macys.com/is/image/MCY/11935772 </v>
      </c>
    </row>
    <row r="256" spans="1:11" ht="20.100000000000001" customHeight="1" x14ac:dyDescent="0.25">
      <c r="A256" s="7" t="s">
        <v>963</v>
      </c>
      <c r="B256" s="20">
        <v>13815672</v>
      </c>
      <c r="C256" s="8">
        <v>750105141527</v>
      </c>
      <c r="D256" s="6" t="s">
        <v>1175</v>
      </c>
      <c r="E256" s="7">
        <v>1</v>
      </c>
      <c r="F256" s="9">
        <v>24.99</v>
      </c>
      <c r="G256" s="21">
        <v>24.99</v>
      </c>
      <c r="H256" s="7" t="s">
        <v>668</v>
      </c>
      <c r="I256" s="7" t="s">
        <v>777</v>
      </c>
      <c r="J256" s="7" t="s">
        <v>893</v>
      </c>
      <c r="K256" s="7" t="str">
        <f>HYPERLINK("http://slimages.macys.com/is/image/MCY/9454189 ")</f>
        <v xml:space="preserve">http://slimages.macys.com/is/image/MCY/9454189 </v>
      </c>
    </row>
    <row r="257" spans="1:11" ht="20.100000000000001" customHeight="1" x14ac:dyDescent="0.25">
      <c r="A257" s="7" t="s">
        <v>963</v>
      </c>
      <c r="B257" s="20">
        <v>13815672</v>
      </c>
      <c r="C257" s="8">
        <v>750105168975</v>
      </c>
      <c r="D257" s="6" t="s">
        <v>1176</v>
      </c>
      <c r="E257" s="7">
        <v>1</v>
      </c>
      <c r="F257" s="9">
        <v>16.989999999999998</v>
      </c>
      <c r="G257" s="21">
        <v>16.989999999999998</v>
      </c>
      <c r="H257" s="7" t="s">
        <v>668</v>
      </c>
      <c r="I257" s="7" t="s">
        <v>669</v>
      </c>
      <c r="J257" s="7" t="s">
        <v>933</v>
      </c>
      <c r="K257" s="7" t="str">
        <f>HYPERLINK("http://slimages.macys.com/is/image/MCY/17934766 ")</f>
        <v xml:space="preserve">http://slimages.macys.com/is/image/MCY/17934766 </v>
      </c>
    </row>
    <row r="258" spans="1:11" ht="20.100000000000001" customHeight="1" x14ac:dyDescent="0.25">
      <c r="A258" s="7" t="s">
        <v>963</v>
      </c>
      <c r="B258" s="20">
        <v>13815672</v>
      </c>
      <c r="C258" s="8">
        <v>754069537174</v>
      </c>
      <c r="D258" s="6" t="s">
        <v>1177</v>
      </c>
      <c r="E258" s="7">
        <v>1</v>
      </c>
      <c r="F258" s="9">
        <v>49.99</v>
      </c>
      <c r="G258" s="21">
        <v>49.99</v>
      </c>
      <c r="H258" s="7" t="s">
        <v>799</v>
      </c>
      <c r="I258" s="7" t="s">
        <v>672</v>
      </c>
      <c r="J258" s="7" t="s">
        <v>141</v>
      </c>
      <c r="K258" s="7" t="str">
        <f>HYPERLINK("http://slimages.macys.com/is/image/MCY/11573597 ")</f>
        <v xml:space="preserve">http://slimages.macys.com/is/image/MCY/11573597 </v>
      </c>
    </row>
    <row r="259" spans="1:11" ht="20.100000000000001" customHeight="1" x14ac:dyDescent="0.25">
      <c r="A259" s="7" t="s">
        <v>963</v>
      </c>
      <c r="B259" s="20">
        <v>13815672</v>
      </c>
      <c r="C259" s="8">
        <v>760028584165</v>
      </c>
      <c r="D259" s="6" t="s">
        <v>1178</v>
      </c>
      <c r="E259" s="7">
        <v>2</v>
      </c>
      <c r="F259" s="9">
        <v>24.99</v>
      </c>
      <c r="G259" s="21">
        <v>49.98</v>
      </c>
      <c r="H259" s="7" t="s">
        <v>668</v>
      </c>
      <c r="I259" s="7" t="s">
        <v>669</v>
      </c>
      <c r="J259" s="7" t="s">
        <v>915</v>
      </c>
      <c r="K259" s="7" t="str">
        <f>HYPERLINK("http://slimages.macys.com/is/image/MCY/18659571 ")</f>
        <v xml:space="preserve">http://slimages.macys.com/is/image/MCY/18659571 </v>
      </c>
    </row>
    <row r="260" spans="1:11" ht="20.100000000000001" customHeight="1" x14ac:dyDescent="0.25">
      <c r="A260" s="7" t="s">
        <v>963</v>
      </c>
      <c r="B260" s="20">
        <v>13815672</v>
      </c>
      <c r="C260" s="8">
        <v>766380628134</v>
      </c>
      <c r="D260" s="6" t="s">
        <v>1179</v>
      </c>
      <c r="E260" s="7">
        <v>1</v>
      </c>
      <c r="F260" s="9">
        <v>29.99</v>
      </c>
      <c r="G260" s="21">
        <v>29.99</v>
      </c>
      <c r="H260" s="7" t="s">
        <v>698</v>
      </c>
      <c r="I260" s="7" t="s">
        <v>694</v>
      </c>
      <c r="J260" s="7" t="s">
        <v>695</v>
      </c>
      <c r="K260" s="7" t="str">
        <f>HYPERLINK("http://slimages.macys.com/is/image/MCY/13285480 ")</f>
        <v xml:space="preserve">http://slimages.macys.com/is/image/MCY/13285480 </v>
      </c>
    </row>
    <row r="261" spans="1:11" ht="20.100000000000001" customHeight="1" x14ac:dyDescent="0.25">
      <c r="A261" s="7" t="s">
        <v>963</v>
      </c>
      <c r="B261" s="20">
        <v>13815672</v>
      </c>
      <c r="C261" s="8">
        <v>783048021311</v>
      </c>
      <c r="D261" s="6" t="s">
        <v>1180</v>
      </c>
      <c r="E261" s="7">
        <v>1</v>
      </c>
      <c r="F261" s="9">
        <v>88.99</v>
      </c>
      <c r="G261" s="21">
        <v>88.99</v>
      </c>
      <c r="H261" s="7" t="s">
        <v>691</v>
      </c>
      <c r="I261" s="7" t="s">
        <v>672</v>
      </c>
      <c r="J261" s="7" t="s">
        <v>739</v>
      </c>
      <c r="K261" s="7" t="str">
        <f>HYPERLINK("http://slimages.macys.com/is/image/MCY/10005647 ")</f>
        <v xml:space="preserve">http://slimages.macys.com/is/image/MCY/10005647 </v>
      </c>
    </row>
    <row r="262" spans="1:11" ht="20.100000000000001" customHeight="1" x14ac:dyDescent="0.25">
      <c r="A262" s="7" t="s">
        <v>963</v>
      </c>
      <c r="B262" s="20">
        <v>13815672</v>
      </c>
      <c r="C262" s="8">
        <v>783048088581</v>
      </c>
      <c r="D262" s="6" t="s">
        <v>1181</v>
      </c>
      <c r="E262" s="7">
        <v>1</v>
      </c>
      <c r="F262" s="9">
        <v>89.99</v>
      </c>
      <c r="G262" s="21">
        <v>89.99</v>
      </c>
      <c r="H262" s="7" t="s">
        <v>668</v>
      </c>
      <c r="I262" s="7" t="s">
        <v>684</v>
      </c>
      <c r="J262" s="7" t="s">
        <v>739</v>
      </c>
      <c r="K262" s="7" t="str">
        <f>HYPERLINK("http://slimages.macys.com/is/image/MCY/12264776 ")</f>
        <v xml:space="preserve">http://slimages.macys.com/is/image/MCY/12264776 </v>
      </c>
    </row>
    <row r="263" spans="1:11" ht="20.100000000000001" customHeight="1" x14ac:dyDescent="0.25">
      <c r="A263" s="7" t="s">
        <v>963</v>
      </c>
      <c r="B263" s="20">
        <v>13815672</v>
      </c>
      <c r="C263" s="8">
        <v>783048110022</v>
      </c>
      <c r="D263" s="6" t="s">
        <v>872</v>
      </c>
      <c r="E263" s="7">
        <v>1</v>
      </c>
      <c r="F263" s="9">
        <v>77.989999999999995</v>
      </c>
      <c r="G263" s="21">
        <v>77.989999999999995</v>
      </c>
      <c r="H263" s="7" t="s">
        <v>768</v>
      </c>
      <c r="I263" s="7" t="s">
        <v>674</v>
      </c>
      <c r="J263" s="7" t="s">
        <v>739</v>
      </c>
      <c r="K263" s="7" t="str">
        <f>HYPERLINK("http://slimages.macys.com/is/image/MCY/16503965 ")</f>
        <v xml:space="preserve">http://slimages.macys.com/is/image/MCY/16503965 </v>
      </c>
    </row>
    <row r="264" spans="1:11" ht="20.100000000000001" customHeight="1" x14ac:dyDescent="0.25">
      <c r="A264" s="7" t="s">
        <v>963</v>
      </c>
      <c r="B264" s="20">
        <v>13815672</v>
      </c>
      <c r="C264" s="8">
        <v>783048110886</v>
      </c>
      <c r="D264" s="6" t="s">
        <v>1182</v>
      </c>
      <c r="E264" s="7">
        <v>1</v>
      </c>
      <c r="F264" s="9">
        <v>179.99</v>
      </c>
      <c r="G264" s="21">
        <v>179.99</v>
      </c>
      <c r="H264" s="7" t="s">
        <v>668</v>
      </c>
      <c r="I264" s="7" t="s">
        <v>689</v>
      </c>
      <c r="J264" s="7" t="s">
        <v>858</v>
      </c>
      <c r="K264" s="7" t="str">
        <f>HYPERLINK("http://slimages.macys.com/is/image/MCY/15348583 ")</f>
        <v xml:space="preserve">http://slimages.macys.com/is/image/MCY/15348583 </v>
      </c>
    </row>
    <row r="265" spans="1:11" ht="20.100000000000001" customHeight="1" x14ac:dyDescent="0.25">
      <c r="A265" s="7" t="s">
        <v>963</v>
      </c>
      <c r="B265" s="20">
        <v>13815672</v>
      </c>
      <c r="C265" s="8">
        <v>783048128164</v>
      </c>
      <c r="D265" s="6" t="s">
        <v>1183</v>
      </c>
      <c r="E265" s="7">
        <v>1</v>
      </c>
      <c r="F265" s="9">
        <v>49.99</v>
      </c>
      <c r="G265" s="21">
        <v>49.99</v>
      </c>
      <c r="H265" s="7"/>
      <c r="I265" s="7" t="s">
        <v>672</v>
      </c>
      <c r="J265" s="7" t="s">
        <v>739</v>
      </c>
      <c r="K265" s="7" t="str">
        <f>HYPERLINK("http://slimages.macys.com/is/image/MCY/17088229 ")</f>
        <v xml:space="preserve">http://slimages.macys.com/is/image/MCY/17088229 </v>
      </c>
    </row>
    <row r="266" spans="1:11" ht="20.100000000000001" customHeight="1" x14ac:dyDescent="0.25">
      <c r="A266" s="7" t="s">
        <v>963</v>
      </c>
      <c r="B266" s="20">
        <v>13815672</v>
      </c>
      <c r="C266" s="8">
        <v>783048154156</v>
      </c>
      <c r="D266" s="6" t="s">
        <v>1184</v>
      </c>
      <c r="E266" s="7">
        <v>1</v>
      </c>
      <c r="F266" s="9">
        <v>29.99</v>
      </c>
      <c r="G266" s="21">
        <v>29.99</v>
      </c>
      <c r="H266" s="7"/>
      <c r="I266" s="7" t="s">
        <v>672</v>
      </c>
      <c r="J266" s="7" t="s">
        <v>739</v>
      </c>
      <c r="K266" s="7" t="str">
        <f>HYPERLINK("http://slimages.macys.com/is/image/MCY/18716862 ")</f>
        <v xml:space="preserve">http://slimages.macys.com/is/image/MCY/18716862 </v>
      </c>
    </row>
    <row r="267" spans="1:11" ht="20.100000000000001" customHeight="1" x14ac:dyDescent="0.25">
      <c r="A267" s="7" t="s">
        <v>963</v>
      </c>
      <c r="B267" s="20">
        <v>13815672</v>
      </c>
      <c r="C267" s="8">
        <v>783048154200</v>
      </c>
      <c r="D267" s="6" t="s">
        <v>1185</v>
      </c>
      <c r="E267" s="7">
        <v>1</v>
      </c>
      <c r="F267" s="9">
        <v>29.99</v>
      </c>
      <c r="G267" s="21">
        <v>29.99</v>
      </c>
      <c r="H267" s="7"/>
      <c r="I267" s="7" t="s">
        <v>672</v>
      </c>
      <c r="J267" s="7" t="s">
        <v>739</v>
      </c>
      <c r="K267" s="7" t="str">
        <f>HYPERLINK("http://slimages.macys.com/is/image/MCY/18716660 ")</f>
        <v xml:space="preserve">http://slimages.macys.com/is/image/MCY/18716660 </v>
      </c>
    </row>
    <row r="268" spans="1:11" ht="20.100000000000001" customHeight="1" x14ac:dyDescent="0.25">
      <c r="A268" s="7" t="s">
        <v>963</v>
      </c>
      <c r="B268" s="20">
        <v>13815672</v>
      </c>
      <c r="C268" s="8">
        <v>784008134782</v>
      </c>
      <c r="D268" s="6" t="s">
        <v>1186</v>
      </c>
      <c r="E268" s="7">
        <v>1</v>
      </c>
      <c r="F268" s="9">
        <v>69.989999999999995</v>
      </c>
      <c r="G268" s="21">
        <v>69.989999999999995</v>
      </c>
      <c r="H268" s="7" t="s">
        <v>676</v>
      </c>
      <c r="I268" s="7" t="s">
        <v>669</v>
      </c>
      <c r="J268" s="7" t="s">
        <v>670</v>
      </c>
      <c r="K268" s="7" t="str">
        <f>HYPERLINK("http://slimages.macys.com/is/image/MCY/11798924 ")</f>
        <v xml:space="preserve">http://slimages.macys.com/is/image/MCY/11798924 </v>
      </c>
    </row>
    <row r="269" spans="1:11" ht="20.100000000000001" customHeight="1" x14ac:dyDescent="0.25">
      <c r="A269" s="7" t="s">
        <v>963</v>
      </c>
      <c r="B269" s="20">
        <v>13815672</v>
      </c>
      <c r="C269" s="8">
        <v>784851502806</v>
      </c>
      <c r="D269" s="6" t="s">
        <v>1187</v>
      </c>
      <c r="E269" s="7">
        <v>1</v>
      </c>
      <c r="F269" s="9">
        <v>35.99</v>
      </c>
      <c r="G269" s="21">
        <v>35.99</v>
      </c>
      <c r="H269" s="7" t="s">
        <v>754</v>
      </c>
      <c r="I269" s="7" t="s">
        <v>666</v>
      </c>
      <c r="J269" s="7" t="s">
        <v>901</v>
      </c>
      <c r="K269" s="7" t="str">
        <f>HYPERLINK("http://slimages.macys.com/is/image/MCY/12899922 ")</f>
        <v xml:space="preserve">http://slimages.macys.com/is/image/MCY/12899922 </v>
      </c>
    </row>
    <row r="270" spans="1:11" ht="20.100000000000001" customHeight="1" x14ac:dyDescent="0.25">
      <c r="A270" s="7" t="s">
        <v>963</v>
      </c>
      <c r="B270" s="20">
        <v>13815672</v>
      </c>
      <c r="C270" s="8">
        <v>784851503537</v>
      </c>
      <c r="D270" s="6" t="s">
        <v>1188</v>
      </c>
      <c r="E270" s="7">
        <v>1</v>
      </c>
      <c r="F270" s="9">
        <v>39.99</v>
      </c>
      <c r="G270" s="21">
        <v>39.99</v>
      </c>
      <c r="H270" s="7" t="s">
        <v>707</v>
      </c>
      <c r="I270" s="7" t="s">
        <v>666</v>
      </c>
      <c r="J270" s="7" t="s">
        <v>901</v>
      </c>
      <c r="K270" s="7" t="str">
        <f>HYPERLINK("http://slimages.macys.com/is/image/MCY/12900375 ")</f>
        <v xml:space="preserve">http://slimages.macys.com/is/image/MCY/12900375 </v>
      </c>
    </row>
    <row r="271" spans="1:11" ht="20.100000000000001" customHeight="1" x14ac:dyDescent="0.25">
      <c r="A271" s="7" t="s">
        <v>963</v>
      </c>
      <c r="B271" s="20">
        <v>13815672</v>
      </c>
      <c r="C271" s="8">
        <v>784851503896</v>
      </c>
      <c r="D271" s="6" t="s">
        <v>1189</v>
      </c>
      <c r="E271" s="7">
        <v>1</v>
      </c>
      <c r="F271" s="9">
        <v>29.99</v>
      </c>
      <c r="G271" s="21">
        <v>29.99</v>
      </c>
      <c r="H271" s="7" t="s">
        <v>721</v>
      </c>
      <c r="I271" s="7" t="s">
        <v>666</v>
      </c>
      <c r="J271" s="7" t="s">
        <v>901</v>
      </c>
      <c r="K271" s="7" t="str">
        <f>HYPERLINK("http://slimages.macys.com/is/image/MCY/12900506 ")</f>
        <v xml:space="preserve">http://slimages.macys.com/is/image/MCY/12900506 </v>
      </c>
    </row>
    <row r="272" spans="1:11" ht="20.100000000000001" customHeight="1" x14ac:dyDescent="0.25">
      <c r="A272" s="7" t="s">
        <v>963</v>
      </c>
      <c r="B272" s="20">
        <v>13815672</v>
      </c>
      <c r="C272" s="8">
        <v>784851503940</v>
      </c>
      <c r="D272" s="6" t="s">
        <v>1190</v>
      </c>
      <c r="E272" s="7">
        <v>1</v>
      </c>
      <c r="F272" s="9">
        <v>29.99</v>
      </c>
      <c r="G272" s="21">
        <v>29.99</v>
      </c>
      <c r="H272" s="7" t="s">
        <v>770</v>
      </c>
      <c r="I272" s="7" t="s">
        <v>666</v>
      </c>
      <c r="J272" s="7" t="s">
        <v>901</v>
      </c>
      <c r="K272" s="7" t="str">
        <f>HYPERLINK("http://slimages.macys.com/is/image/MCY/12900506 ")</f>
        <v xml:space="preserve">http://slimages.macys.com/is/image/MCY/12900506 </v>
      </c>
    </row>
    <row r="273" spans="1:11" ht="20.100000000000001" customHeight="1" x14ac:dyDescent="0.25">
      <c r="A273" s="7" t="s">
        <v>963</v>
      </c>
      <c r="B273" s="20">
        <v>13815672</v>
      </c>
      <c r="C273" s="8">
        <v>784851505968</v>
      </c>
      <c r="D273" s="6" t="s">
        <v>1191</v>
      </c>
      <c r="E273" s="7">
        <v>1</v>
      </c>
      <c r="F273" s="9">
        <v>64.989999999999995</v>
      </c>
      <c r="G273" s="21">
        <v>64.989999999999995</v>
      </c>
      <c r="H273" s="7" t="s">
        <v>665</v>
      </c>
      <c r="I273" s="7" t="s">
        <v>666</v>
      </c>
      <c r="J273" s="7" t="s">
        <v>901</v>
      </c>
      <c r="K273" s="7" t="str">
        <f>HYPERLINK("http://slimages.macys.com/is/image/MCY/12901054 ")</f>
        <v xml:space="preserve">http://slimages.macys.com/is/image/MCY/12901054 </v>
      </c>
    </row>
    <row r="274" spans="1:11" ht="20.100000000000001" customHeight="1" x14ac:dyDescent="0.25">
      <c r="A274" s="7" t="s">
        <v>963</v>
      </c>
      <c r="B274" s="20">
        <v>13815672</v>
      </c>
      <c r="C274" s="8">
        <v>784851506637</v>
      </c>
      <c r="D274" s="6" t="s">
        <v>1192</v>
      </c>
      <c r="E274" s="7">
        <v>1</v>
      </c>
      <c r="F274" s="9">
        <v>77.989999999999995</v>
      </c>
      <c r="G274" s="21">
        <v>77.989999999999995</v>
      </c>
      <c r="H274" s="7" t="s">
        <v>676</v>
      </c>
      <c r="I274" s="7" t="s">
        <v>666</v>
      </c>
      <c r="J274" s="7" t="s">
        <v>901</v>
      </c>
      <c r="K274" s="7" t="str">
        <f>HYPERLINK("http://slimages.macys.com/is/image/MCY/12901863 ")</f>
        <v xml:space="preserve">http://slimages.macys.com/is/image/MCY/12901863 </v>
      </c>
    </row>
    <row r="275" spans="1:11" ht="20.100000000000001" customHeight="1" x14ac:dyDescent="0.25">
      <c r="A275" s="7" t="s">
        <v>963</v>
      </c>
      <c r="B275" s="20">
        <v>13815672</v>
      </c>
      <c r="C275" s="8">
        <v>788904130619</v>
      </c>
      <c r="D275" s="6" t="s">
        <v>1193</v>
      </c>
      <c r="E275" s="7">
        <v>1</v>
      </c>
      <c r="F275" s="9">
        <v>39.99</v>
      </c>
      <c r="G275" s="21">
        <v>39.99</v>
      </c>
      <c r="H275" s="7" t="s">
        <v>779</v>
      </c>
      <c r="I275" s="7" t="s">
        <v>684</v>
      </c>
      <c r="J275" s="7" t="s">
        <v>685</v>
      </c>
      <c r="K275" s="7" t="str">
        <f>HYPERLINK("http://slimages.macys.com/is/image/MCY/3895749 ")</f>
        <v xml:space="preserve">http://slimages.macys.com/is/image/MCY/3895749 </v>
      </c>
    </row>
    <row r="276" spans="1:11" ht="20.100000000000001" customHeight="1" x14ac:dyDescent="0.25">
      <c r="A276" s="7" t="s">
        <v>963</v>
      </c>
      <c r="B276" s="20">
        <v>13815672</v>
      </c>
      <c r="C276" s="8">
        <v>789323328946</v>
      </c>
      <c r="D276" s="6" t="s">
        <v>1194</v>
      </c>
      <c r="E276" s="7">
        <v>1</v>
      </c>
      <c r="F276" s="9">
        <v>45.99</v>
      </c>
      <c r="G276" s="21">
        <v>45.99</v>
      </c>
      <c r="H276" s="7" t="s">
        <v>721</v>
      </c>
      <c r="I276" s="7" t="s">
        <v>674</v>
      </c>
      <c r="J276" s="7" t="s">
        <v>847</v>
      </c>
      <c r="K276" s="7" t="str">
        <f>HYPERLINK("http://slimages.macys.com/is/image/MCY/14832219 ")</f>
        <v xml:space="preserve">http://slimages.macys.com/is/image/MCY/14832219 </v>
      </c>
    </row>
    <row r="277" spans="1:11" ht="20.100000000000001" customHeight="1" x14ac:dyDescent="0.25">
      <c r="A277" s="7" t="s">
        <v>963</v>
      </c>
      <c r="B277" s="20">
        <v>13815672</v>
      </c>
      <c r="C277" s="8">
        <v>800298715798</v>
      </c>
      <c r="D277" s="6" t="s">
        <v>1195</v>
      </c>
      <c r="E277" s="7">
        <v>1</v>
      </c>
      <c r="F277" s="9">
        <v>179.99</v>
      </c>
      <c r="G277" s="21">
        <v>179.99</v>
      </c>
      <c r="H277" s="7" t="s">
        <v>671</v>
      </c>
      <c r="I277" s="7" t="s">
        <v>719</v>
      </c>
      <c r="J277" s="7" t="s">
        <v>743</v>
      </c>
      <c r="K277" s="7" t="str">
        <f>HYPERLINK("http://slimages.macys.com/is/image/MCY/17286464 ")</f>
        <v xml:space="preserve">http://slimages.macys.com/is/image/MCY/17286464 </v>
      </c>
    </row>
    <row r="278" spans="1:11" ht="20.100000000000001" customHeight="1" x14ac:dyDescent="0.25">
      <c r="A278" s="7" t="s">
        <v>963</v>
      </c>
      <c r="B278" s="20">
        <v>13815672</v>
      </c>
      <c r="C278" s="8">
        <v>807709779561</v>
      </c>
      <c r="D278" s="6" t="s">
        <v>1196</v>
      </c>
      <c r="E278" s="7">
        <v>1</v>
      </c>
      <c r="F278" s="9">
        <v>34.99</v>
      </c>
      <c r="G278" s="21">
        <v>34.99</v>
      </c>
      <c r="H278" s="7" t="s">
        <v>677</v>
      </c>
      <c r="I278" s="7" t="s">
        <v>682</v>
      </c>
      <c r="J278" s="7" t="s">
        <v>142</v>
      </c>
      <c r="K278" s="7" t="str">
        <f>HYPERLINK("http://slimages.macys.com/is/image/MCY/15394404 ")</f>
        <v xml:space="preserve">http://slimages.macys.com/is/image/MCY/15394404 </v>
      </c>
    </row>
    <row r="279" spans="1:11" ht="20.100000000000001" customHeight="1" x14ac:dyDescent="0.25">
      <c r="A279" s="7" t="s">
        <v>963</v>
      </c>
      <c r="B279" s="20">
        <v>13815672</v>
      </c>
      <c r="C279" s="8">
        <v>807882437746</v>
      </c>
      <c r="D279" s="6" t="s">
        <v>1197</v>
      </c>
      <c r="E279" s="7">
        <v>1</v>
      </c>
      <c r="F279" s="9">
        <v>44.99</v>
      </c>
      <c r="G279" s="21">
        <v>44.99</v>
      </c>
      <c r="H279" s="7" t="s">
        <v>707</v>
      </c>
      <c r="I279" s="7" t="s">
        <v>674</v>
      </c>
      <c r="J279" s="7" t="s">
        <v>143</v>
      </c>
      <c r="K279" s="7" t="str">
        <f>HYPERLINK("http://slimages.macys.com/is/image/MCY/10670507 ")</f>
        <v xml:space="preserve">http://slimages.macys.com/is/image/MCY/10670507 </v>
      </c>
    </row>
    <row r="280" spans="1:11" ht="20.100000000000001" customHeight="1" x14ac:dyDescent="0.25">
      <c r="A280" s="7" t="s">
        <v>963</v>
      </c>
      <c r="B280" s="20">
        <v>13815672</v>
      </c>
      <c r="C280" s="8">
        <v>807882465855</v>
      </c>
      <c r="D280" s="6" t="s">
        <v>1198</v>
      </c>
      <c r="E280" s="7">
        <v>1</v>
      </c>
      <c r="F280" s="9">
        <v>54.99</v>
      </c>
      <c r="G280" s="21">
        <v>54.99</v>
      </c>
      <c r="H280" s="7" t="s">
        <v>665</v>
      </c>
      <c r="I280" s="7" t="s">
        <v>674</v>
      </c>
      <c r="J280" s="7" t="s">
        <v>143</v>
      </c>
      <c r="K280" s="7" t="str">
        <f>HYPERLINK("http://slimages.macys.com/is/image/MCY/10685445 ")</f>
        <v xml:space="preserve">http://slimages.macys.com/is/image/MCY/10685445 </v>
      </c>
    </row>
    <row r="281" spans="1:11" ht="20.100000000000001" customHeight="1" x14ac:dyDescent="0.25">
      <c r="A281" s="7" t="s">
        <v>963</v>
      </c>
      <c r="B281" s="20">
        <v>13815672</v>
      </c>
      <c r="C281" s="8">
        <v>810006712087</v>
      </c>
      <c r="D281" s="6" t="s">
        <v>1199</v>
      </c>
      <c r="E281" s="7">
        <v>1</v>
      </c>
      <c r="F281" s="9">
        <v>56.99</v>
      </c>
      <c r="G281" s="21">
        <v>56.99</v>
      </c>
      <c r="H281" s="7" t="s">
        <v>768</v>
      </c>
      <c r="I281" s="7" t="s">
        <v>752</v>
      </c>
      <c r="J281" s="7" t="s">
        <v>828</v>
      </c>
      <c r="K281" s="7" t="str">
        <f>HYPERLINK("http://slimages.macys.com/is/image/MCY/11471856 ")</f>
        <v xml:space="preserve">http://slimages.macys.com/is/image/MCY/11471856 </v>
      </c>
    </row>
    <row r="282" spans="1:11" ht="20.100000000000001" customHeight="1" x14ac:dyDescent="0.25">
      <c r="A282" s="7" t="s">
        <v>963</v>
      </c>
      <c r="B282" s="20">
        <v>13815672</v>
      </c>
      <c r="C282" s="8">
        <v>810013412413</v>
      </c>
      <c r="D282" s="6" t="s">
        <v>1200</v>
      </c>
      <c r="E282" s="7">
        <v>1</v>
      </c>
      <c r="F282" s="9">
        <v>37.99</v>
      </c>
      <c r="G282" s="21">
        <v>37.99</v>
      </c>
      <c r="H282" s="7" t="s">
        <v>668</v>
      </c>
      <c r="I282" s="7" t="s">
        <v>669</v>
      </c>
      <c r="J282" s="7" t="s">
        <v>936</v>
      </c>
      <c r="K282" s="7" t="str">
        <f>HYPERLINK("http://slimages.macys.com/is/image/MCY/15792898 ")</f>
        <v xml:space="preserve">http://slimages.macys.com/is/image/MCY/15792898 </v>
      </c>
    </row>
    <row r="283" spans="1:11" ht="20.100000000000001" customHeight="1" x14ac:dyDescent="0.25">
      <c r="A283" s="7" t="s">
        <v>963</v>
      </c>
      <c r="B283" s="20">
        <v>13815672</v>
      </c>
      <c r="C283" s="8">
        <v>810015870174</v>
      </c>
      <c r="D283" s="6" t="s">
        <v>1201</v>
      </c>
      <c r="E283" s="7">
        <v>1</v>
      </c>
      <c r="F283" s="9">
        <v>99.99</v>
      </c>
      <c r="G283" s="21">
        <v>99.99</v>
      </c>
      <c r="H283" s="7" t="s">
        <v>668</v>
      </c>
      <c r="I283" s="7" t="s">
        <v>669</v>
      </c>
      <c r="J283" s="7" t="s">
        <v>796</v>
      </c>
      <c r="K283" s="7" t="str">
        <f>HYPERLINK("http://slimages.macys.com/is/image/MCY/12407429 ")</f>
        <v xml:space="preserve">http://slimages.macys.com/is/image/MCY/12407429 </v>
      </c>
    </row>
    <row r="284" spans="1:11" ht="20.100000000000001" customHeight="1" x14ac:dyDescent="0.25">
      <c r="A284" s="7" t="s">
        <v>963</v>
      </c>
      <c r="B284" s="20">
        <v>13815672</v>
      </c>
      <c r="C284" s="8">
        <v>810026172601</v>
      </c>
      <c r="D284" s="6" t="s">
        <v>1202</v>
      </c>
      <c r="E284" s="7">
        <v>2</v>
      </c>
      <c r="F284" s="9">
        <v>35.99</v>
      </c>
      <c r="G284" s="21">
        <v>71.98</v>
      </c>
      <c r="H284" s="7" t="s">
        <v>708</v>
      </c>
      <c r="I284" s="7" t="s">
        <v>674</v>
      </c>
      <c r="J284" s="7" t="s">
        <v>700</v>
      </c>
      <c r="K284" s="7" t="str">
        <f>HYPERLINK("http://slimages.macys.com/is/image/MCY/15895698 ")</f>
        <v xml:space="preserve">http://slimages.macys.com/is/image/MCY/15895698 </v>
      </c>
    </row>
    <row r="285" spans="1:11" ht="20.100000000000001" customHeight="1" x14ac:dyDescent="0.25">
      <c r="A285" s="7" t="s">
        <v>963</v>
      </c>
      <c r="B285" s="20">
        <v>13815672</v>
      </c>
      <c r="C285" s="8">
        <v>814760022536</v>
      </c>
      <c r="D285" s="6" t="s">
        <v>1203</v>
      </c>
      <c r="E285" s="7">
        <v>1</v>
      </c>
      <c r="F285" s="9">
        <v>41.99</v>
      </c>
      <c r="G285" s="21">
        <v>41.99</v>
      </c>
      <c r="H285" s="7" t="s">
        <v>671</v>
      </c>
      <c r="I285" s="7" t="s">
        <v>666</v>
      </c>
      <c r="J285" s="7" t="s">
        <v>678</v>
      </c>
      <c r="K285" s="7" t="str">
        <f>HYPERLINK("http://slimages.macys.com/is/image/MCY/10681523 ")</f>
        <v xml:space="preserve">http://slimages.macys.com/is/image/MCY/10681523 </v>
      </c>
    </row>
    <row r="286" spans="1:11" ht="20.100000000000001" customHeight="1" x14ac:dyDescent="0.25">
      <c r="A286" s="7" t="s">
        <v>963</v>
      </c>
      <c r="B286" s="20">
        <v>13815672</v>
      </c>
      <c r="C286" s="8">
        <v>816651022922</v>
      </c>
      <c r="D286" s="6" t="s">
        <v>841</v>
      </c>
      <c r="E286" s="7">
        <v>1</v>
      </c>
      <c r="F286" s="9">
        <v>47.99</v>
      </c>
      <c r="G286" s="21">
        <v>47.99</v>
      </c>
      <c r="H286" s="7" t="s">
        <v>698</v>
      </c>
      <c r="I286" s="7" t="s">
        <v>666</v>
      </c>
      <c r="J286" s="7" t="s">
        <v>678</v>
      </c>
      <c r="K286" s="7" t="str">
        <f>HYPERLINK("http://slimages.macys.com/is/image/MCY/10682326 ")</f>
        <v xml:space="preserve">http://slimages.macys.com/is/image/MCY/10682326 </v>
      </c>
    </row>
    <row r="287" spans="1:11" ht="20.100000000000001" customHeight="1" x14ac:dyDescent="0.25">
      <c r="A287" s="7" t="s">
        <v>963</v>
      </c>
      <c r="B287" s="20">
        <v>13815672</v>
      </c>
      <c r="C287" s="8">
        <v>816651027835</v>
      </c>
      <c r="D287" s="6" t="s">
        <v>1204</v>
      </c>
      <c r="E287" s="7">
        <v>1</v>
      </c>
      <c r="F287" s="9">
        <v>47.99</v>
      </c>
      <c r="G287" s="21">
        <v>47.99</v>
      </c>
      <c r="H287" s="7" t="s">
        <v>771</v>
      </c>
      <c r="I287" s="7" t="s">
        <v>666</v>
      </c>
      <c r="J287" s="7" t="s">
        <v>678</v>
      </c>
      <c r="K287" s="7" t="str">
        <f>HYPERLINK("http://slimages.macys.com/is/image/MCY/10682730 ")</f>
        <v xml:space="preserve">http://slimages.macys.com/is/image/MCY/10682730 </v>
      </c>
    </row>
    <row r="288" spans="1:11" ht="20.100000000000001" customHeight="1" x14ac:dyDescent="0.25">
      <c r="A288" s="7" t="s">
        <v>963</v>
      </c>
      <c r="B288" s="20">
        <v>13815672</v>
      </c>
      <c r="C288" s="8">
        <v>816651028863</v>
      </c>
      <c r="D288" s="6" t="s">
        <v>1205</v>
      </c>
      <c r="E288" s="7">
        <v>1</v>
      </c>
      <c r="F288" s="9">
        <v>44.99</v>
      </c>
      <c r="G288" s="21">
        <v>44.99</v>
      </c>
      <c r="H288" s="7" t="s">
        <v>698</v>
      </c>
      <c r="I288" s="7" t="s">
        <v>666</v>
      </c>
      <c r="J288" s="7" t="s">
        <v>678</v>
      </c>
      <c r="K288" s="7" t="str">
        <f>HYPERLINK("http://slimages.macys.com/is/image/MCY/10682862 ")</f>
        <v xml:space="preserve">http://slimages.macys.com/is/image/MCY/10682862 </v>
      </c>
    </row>
    <row r="289" spans="1:11" ht="20.100000000000001" customHeight="1" x14ac:dyDescent="0.25">
      <c r="A289" s="7" t="s">
        <v>963</v>
      </c>
      <c r="B289" s="20">
        <v>13815672</v>
      </c>
      <c r="C289" s="8">
        <v>818912038789</v>
      </c>
      <c r="D289" s="6" t="s">
        <v>1206</v>
      </c>
      <c r="E289" s="7">
        <v>1</v>
      </c>
      <c r="F289" s="9">
        <v>34.99</v>
      </c>
      <c r="G289" s="21">
        <v>34.99</v>
      </c>
      <c r="H289" s="7" t="s">
        <v>799</v>
      </c>
      <c r="I289" s="7" t="s">
        <v>682</v>
      </c>
      <c r="J289" s="7" t="s">
        <v>144</v>
      </c>
      <c r="K289" s="7" t="str">
        <f>HYPERLINK("http://slimages.macys.com/is/image/MCY/12064243 ")</f>
        <v xml:space="preserve">http://slimages.macys.com/is/image/MCY/12064243 </v>
      </c>
    </row>
    <row r="290" spans="1:11" ht="20.100000000000001" customHeight="1" x14ac:dyDescent="0.25">
      <c r="A290" s="7" t="s">
        <v>963</v>
      </c>
      <c r="B290" s="20">
        <v>13815672</v>
      </c>
      <c r="C290" s="8">
        <v>840008312411</v>
      </c>
      <c r="D290" s="6" t="s">
        <v>1207</v>
      </c>
      <c r="E290" s="7">
        <v>1</v>
      </c>
      <c r="F290" s="9">
        <v>139.99</v>
      </c>
      <c r="G290" s="21">
        <v>139.99</v>
      </c>
      <c r="H290" s="7" t="s">
        <v>676</v>
      </c>
      <c r="I290" s="7" t="s">
        <v>669</v>
      </c>
      <c r="J290" s="7" t="s">
        <v>802</v>
      </c>
      <c r="K290" s="7" t="str">
        <f>HYPERLINK("http://slimages.macys.com/is/image/MCY/16125939 ")</f>
        <v xml:space="preserve">http://slimages.macys.com/is/image/MCY/16125939 </v>
      </c>
    </row>
    <row r="291" spans="1:11" ht="20.100000000000001" customHeight="1" x14ac:dyDescent="0.25">
      <c r="A291" s="7" t="s">
        <v>963</v>
      </c>
      <c r="B291" s="20">
        <v>13815672</v>
      </c>
      <c r="C291" s="8">
        <v>840008369880</v>
      </c>
      <c r="D291" s="6" t="s">
        <v>917</v>
      </c>
      <c r="E291" s="7">
        <v>1</v>
      </c>
      <c r="F291" s="9">
        <v>119.99</v>
      </c>
      <c r="G291" s="21">
        <v>119.99</v>
      </c>
      <c r="H291" s="7" t="s">
        <v>668</v>
      </c>
      <c r="I291" s="7" t="s">
        <v>669</v>
      </c>
      <c r="J291" s="7" t="s">
        <v>802</v>
      </c>
      <c r="K291" s="7" t="str">
        <f>HYPERLINK("http://slimages.macys.com/is/image/MCY/17546383 ")</f>
        <v xml:space="preserve">http://slimages.macys.com/is/image/MCY/17546383 </v>
      </c>
    </row>
    <row r="292" spans="1:11" ht="20.100000000000001" customHeight="1" x14ac:dyDescent="0.25">
      <c r="A292" s="7" t="s">
        <v>963</v>
      </c>
      <c r="B292" s="20">
        <v>13815672</v>
      </c>
      <c r="C292" s="8">
        <v>840008370503</v>
      </c>
      <c r="D292" s="6" t="s">
        <v>860</v>
      </c>
      <c r="E292" s="7">
        <v>1</v>
      </c>
      <c r="F292" s="9">
        <v>49.99</v>
      </c>
      <c r="G292" s="21">
        <v>49.99</v>
      </c>
      <c r="H292" s="7" t="s">
        <v>668</v>
      </c>
      <c r="I292" s="7" t="s">
        <v>669</v>
      </c>
      <c r="J292" s="7" t="s">
        <v>802</v>
      </c>
      <c r="K292" s="7" t="str">
        <f>HYPERLINK("http://slimages.macys.com/is/image/MCY/17546507 ")</f>
        <v xml:space="preserve">http://slimages.macys.com/is/image/MCY/17546507 </v>
      </c>
    </row>
    <row r="293" spans="1:11" ht="20.100000000000001" customHeight="1" x14ac:dyDescent="0.25">
      <c r="A293" s="7" t="s">
        <v>963</v>
      </c>
      <c r="B293" s="20">
        <v>13815672</v>
      </c>
      <c r="C293" s="8">
        <v>840008370541</v>
      </c>
      <c r="D293" s="6" t="s">
        <v>801</v>
      </c>
      <c r="E293" s="7">
        <v>1</v>
      </c>
      <c r="F293" s="9">
        <v>54.99</v>
      </c>
      <c r="G293" s="21">
        <v>54.99</v>
      </c>
      <c r="H293" s="7" t="s">
        <v>668</v>
      </c>
      <c r="I293" s="7" t="s">
        <v>669</v>
      </c>
      <c r="J293" s="7" t="s">
        <v>802</v>
      </c>
      <c r="K293" s="7" t="str">
        <f>HYPERLINK("http://slimages.macys.com/is/image/MCY/17546537 ")</f>
        <v xml:space="preserve">http://slimages.macys.com/is/image/MCY/17546537 </v>
      </c>
    </row>
    <row r="294" spans="1:11" ht="20.100000000000001" customHeight="1" x14ac:dyDescent="0.25">
      <c r="A294" s="7" t="s">
        <v>963</v>
      </c>
      <c r="B294" s="20">
        <v>13815672</v>
      </c>
      <c r="C294" s="8">
        <v>840444124487</v>
      </c>
      <c r="D294" s="6" t="s">
        <v>1208</v>
      </c>
      <c r="E294" s="7">
        <v>1</v>
      </c>
      <c r="F294" s="9">
        <v>82.99</v>
      </c>
      <c r="G294" s="21">
        <v>82.99</v>
      </c>
      <c r="H294" s="7" t="s">
        <v>668</v>
      </c>
      <c r="I294" s="7" t="s">
        <v>666</v>
      </c>
      <c r="J294" s="7" t="s">
        <v>673</v>
      </c>
      <c r="K294" s="7" t="str">
        <f>HYPERLINK("http://slimages.macys.com/is/image/MCY/10676414 ")</f>
        <v xml:space="preserve">http://slimages.macys.com/is/image/MCY/10676414 </v>
      </c>
    </row>
    <row r="295" spans="1:11" ht="20.100000000000001" customHeight="1" x14ac:dyDescent="0.25">
      <c r="A295" s="7" t="s">
        <v>963</v>
      </c>
      <c r="B295" s="20">
        <v>13815672</v>
      </c>
      <c r="C295" s="8">
        <v>840970140234</v>
      </c>
      <c r="D295" s="6" t="s">
        <v>1209</v>
      </c>
      <c r="E295" s="7">
        <v>1</v>
      </c>
      <c r="F295" s="9">
        <v>77.989999999999995</v>
      </c>
      <c r="G295" s="21">
        <v>77.989999999999995</v>
      </c>
      <c r="H295" s="7" t="s">
        <v>745</v>
      </c>
      <c r="I295" s="7" t="s">
        <v>672</v>
      </c>
      <c r="J295" s="7" t="s">
        <v>726</v>
      </c>
      <c r="K295" s="7" t="str">
        <f>HYPERLINK("http://slimages.macys.com/is/image/MCY/14540049 ")</f>
        <v xml:space="preserve">http://slimages.macys.com/is/image/MCY/14540049 </v>
      </c>
    </row>
    <row r="296" spans="1:11" ht="20.100000000000001" customHeight="1" x14ac:dyDescent="0.25">
      <c r="A296" s="7" t="s">
        <v>963</v>
      </c>
      <c r="B296" s="20">
        <v>13815672</v>
      </c>
      <c r="C296" s="8">
        <v>840970140784</v>
      </c>
      <c r="D296" s="6" t="s">
        <v>1210</v>
      </c>
      <c r="E296" s="7">
        <v>1</v>
      </c>
      <c r="F296" s="9">
        <v>13.99</v>
      </c>
      <c r="G296" s="21">
        <v>13.99</v>
      </c>
      <c r="H296" s="7" t="s">
        <v>744</v>
      </c>
      <c r="I296" s="7" t="s">
        <v>666</v>
      </c>
      <c r="J296" s="7" t="s">
        <v>726</v>
      </c>
      <c r="K296" s="7" t="str">
        <f>HYPERLINK("http://slimages.macys.com/is/image/MCY/13837928 ")</f>
        <v xml:space="preserve">http://slimages.macys.com/is/image/MCY/13837928 </v>
      </c>
    </row>
    <row r="297" spans="1:11" ht="20.100000000000001" customHeight="1" x14ac:dyDescent="0.25">
      <c r="A297" s="7" t="s">
        <v>963</v>
      </c>
      <c r="B297" s="20">
        <v>13815672</v>
      </c>
      <c r="C297" s="8">
        <v>840970140784</v>
      </c>
      <c r="D297" s="6" t="s">
        <v>1210</v>
      </c>
      <c r="E297" s="7">
        <v>1</v>
      </c>
      <c r="F297" s="9">
        <v>13.99</v>
      </c>
      <c r="G297" s="21">
        <v>13.99</v>
      </c>
      <c r="H297" s="7" t="s">
        <v>744</v>
      </c>
      <c r="I297" s="7" t="s">
        <v>666</v>
      </c>
      <c r="J297" s="7" t="s">
        <v>726</v>
      </c>
      <c r="K297" s="7" t="str">
        <f>HYPERLINK("http://slimages.macys.com/is/image/MCY/13837928 ")</f>
        <v xml:space="preserve">http://slimages.macys.com/is/image/MCY/13837928 </v>
      </c>
    </row>
    <row r="298" spans="1:11" ht="20.100000000000001" customHeight="1" x14ac:dyDescent="0.25">
      <c r="A298" s="7" t="s">
        <v>963</v>
      </c>
      <c r="B298" s="20">
        <v>13815672</v>
      </c>
      <c r="C298" s="8">
        <v>840970154811</v>
      </c>
      <c r="D298" s="6" t="s">
        <v>1211</v>
      </c>
      <c r="E298" s="7">
        <v>1</v>
      </c>
      <c r="F298" s="9">
        <v>57.99</v>
      </c>
      <c r="G298" s="21">
        <v>57.99</v>
      </c>
      <c r="H298" s="7" t="s">
        <v>732</v>
      </c>
      <c r="I298" s="7" t="s">
        <v>674</v>
      </c>
      <c r="J298" s="7" t="s">
        <v>726</v>
      </c>
      <c r="K298" s="7" t="str">
        <f>HYPERLINK("http://slimages.macys.com/is/image/MCY/14425148 ")</f>
        <v xml:space="preserve">http://slimages.macys.com/is/image/MCY/14425148 </v>
      </c>
    </row>
    <row r="299" spans="1:11" ht="20.100000000000001" customHeight="1" x14ac:dyDescent="0.25">
      <c r="A299" s="7" t="s">
        <v>963</v>
      </c>
      <c r="B299" s="20">
        <v>13815672</v>
      </c>
      <c r="C299" s="8">
        <v>842607195334</v>
      </c>
      <c r="D299" s="6" t="s">
        <v>1212</v>
      </c>
      <c r="E299" s="7">
        <v>1</v>
      </c>
      <c r="F299" s="9">
        <v>76.989999999999995</v>
      </c>
      <c r="G299" s="21">
        <v>76.989999999999995</v>
      </c>
      <c r="H299" s="7" t="s">
        <v>668</v>
      </c>
      <c r="I299" s="7" t="s">
        <v>669</v>
      </c>
      <c r="J299" s="7" t="s">
        <v>145</v>
      </c>
      <c r="K299" s="7" t="str">
        <f>HYPERLINK("http://slimages.macys.com/is/image/MCY/14328538 ")</f>
        <v xml:space="preserve">http://slimages.macys.com/is/image/MCY/14328538 </v>
      </c>
    </row>
    <row r="300" spans="1:11" ht="20.100000000000001" customHeight="1" x14ac:dyDescent="0.25">
      <c r="A300" s="7" t="s">
        <v>963</v>
      </c>
      <c r="B300" s="20">
        <v>13815672</v>
      </c>
      <c r="C300" s="8">
        <v>843145116317</v>
      </c>
      <c r="D300" s="6" t="s">
        <v>1213</v>
      </c>
      <c r="E300" s="7">
        <v>1</v>
      </c>
      <c r="F300" s="9">
        <v>169.99</v>
      </c>
      <c r="G300" s="21">
        <v>169.99</v>
      </c>
      <c r="H300" s="7" t="s">
        <v>665</v>
      </c>
      <c r="I300" s="7" t="s">
        <v>672</v>
      </c>
      <c r="J300" s="7" t="s">
        <v>673</v>
      </c>
      <c r="K300" s="7" t="str">
        <f>HYPERLINK("http://slimages.macys.com/is/image/MCY/17731748 ")</f>
        <v xml:space="preserve">http://slimages.macys.com/is/image/MCY/17731748 </v>
      </c>
    </row>
    <row r="301" spans="1:11" ht="20.100000000000001" customHeight="1" x14ac:dyDescent="0.25">
      <c r="A301" s="7" t="s">
        <v>963</v>
      </c>
      <c r="B301" s="20">
        <v>13815672</v>
      </c>
      <c r="C301" s="8">
        <v>846339050947</v>
      </c>
      <c r="D301" s="6" t="s">
        <v>1214</v>
      </c>
      <c r="E301" s="7">
        <v>1</v>
      </c>
      <c r="F301" s="9">
        <v>49.99</v>
      </c>
      <c r="G301" s="21">
        <v>49.99</v>
      </c>
      <c r="H301" s="7" t="s">
        <v>707</v>
      </c>
      <c r="I301" s="7" t="s">
        <v>689</v>
      </c>
      <c r="J301" s="7" t="s">
        <v>690</v>
      </c>
      <c r="K301" s="7" t="str">
        <f>HYPERLINK("http://slimages.macys.com/is/image/MCY/3704586 ")</f>
        <v xml:space="preserve">http://slimages.macys.com/is/image/MCY/3704586 </v>
      </c>
    </row>
    <row r="302" spans="1:11" ht="20.100000000000001" customHeight="1" x14ac:dyDescent="0.25">
      <c r="A302" s="7" t="s">
        <v>963</v>
      </c>
      <c r="B302" s="20">
        <v>13815672</v>
      </c>
      <c r="C302" s="8">
        <v>846339072031</v>
      </c>
      <c r="D302" s="6" t="s">
        <v>1215</v>
      </c>
      <c r="E302" s="7">
        <v>1</v>
      </c>
      <c r="F302" s="9">
        <v>419.99</v>
      </c>
      <c r="G302" s="21">
        <v>419.99</v>
      </c>
      <c r="H302" s="7" t="s">
        <v>754</v>
      </c>
      <c r="I302" s="7" t="s">
        <v>689</v>
      </c>
      <c r="J302" s="7" t="s">
        <v>690</v>
      </c>
      <c r="K302" s="7" t="str">
        <f>HYPERLINK("http://slimages.macys.com/is/image/MCY/8437860 ")</f>
        <v xml:space="preserve">http://slimages.macys.com/is/image/MCY/8437860 </v>
      </c>
    </row>
    <row r="303" spans="1:11" ht="20.100000000000001" customHeight="1" x14ac:dyDescent="0.25">
      <c r="A303" s="7" t="s">
        <v>963</v>
      </c>
      <c r="B303" s="20">
        <v>13815672</v>
      </c>
      <c r="C303" s="8">
        <v>846339080371</v>
      </c>
      <c r="D303" s="6" t="s">
        <v>1216</v>
      </c>
      <c r="E303" s="7">
        <v>1</v>
      </c>
      <c r="F303" s="9">
        <v>39.99</v>
      </c>
      <c r="G303" s="21">
        <v>39.99</v>
      </c>
      <c r="H303" s="7" t="s">
        <v>668</v>
      </c>
      <c r="I303" s="7" t="s">
        <v>689</v>
      </c>
      <c r="J303" s="7" t="s">
        <v>690</v>
      </c>
      <c r="K303" s="7" t="str">
        <f>HYPERLINK("http://slimages.macys.com/is/image/MCY/2815830 ")</f>
        <v xml:space="preserve">http://slimages.macys.com/is/image/MCY/2815830 </v>
      </c>
    </row>
    <row r="304" spans="1:11" ht="20.100000000000001" customHeight="1" x14ac:dyDescent="0.25">
      <c r="A304" s="7" t="s">
        <v>963</v>
      </c>
      <c r="B304" s="20">
        <v>13815672</v>
      </c>
      <c r="C304" s="8">
        <v>846339080425</v>
      </c>
      <c r="D304" s="6" t="s">
        <v>1217</v>
      </c>
      <c r="E304" s="7">
        <v>1</v>
      </c>
      <c r="F304" s="9">
        <v>249.99</v>
      </c>
      <c r="G304" s="21">
        <v>249.99</v>
      </c>
      <c r="H304" s="7" t="s">
        <v>668</v>
      </c>
      <c r="I304" s="7" t="s">
        <v>689</v>
      </c>
      <c r="J304" s="7" t="s">
        <v>690</v>
      </c>
      <c r="K304" s="7" t="str">
        <f>HYPERLINK("http://slimages.macys.com/is/image/MCY/2567151 ")</f>
        <v xml:space="preserve">http://slimages.macys.com/is/image/MCY/2567151 </v>
      </c>
    </row>
    <row r="305" spans="1:11" ht="20.100000000000001" customHeight="1" x14ac:dyDescent="0.25">
      <c r="A305" s="7" t="s">
        <v>963</v>
      </c>
      <c r="B305" s="20">
        <v>13815672</v>
      </c>
      <c r="C305" s="8">
        <v>848342015449</v>
      </c>
      <c r="D305" s="6" t="s">
        <v>1218</v>
      </c>
      <c r="E305" s="7">
        <v>1</v>
      </c>
      <c r="F305" s="9">
        <v>89.99</v>
      </c>
      <c r="G305" s="21">
        <v>89.99</v>
      </c>
      <c r="H305" s="7" t="s">
        <v>704</v>
      </c>
      <c r="I305" s="7" t="s">
        <v>684</v>
      </c>
      <c r="J305" s="7" t="s">
        <v>895</v>
      </c>
      <c r="K305" s="7" t="str">
        <f>HYPERLINK("http://slimages.macys.com/is/image/MCY/11437719 ")</f>
        <v xml:space="preserve">http://slimages.macys.com/is/image/MCY/11437719 </v>
      </c>
    </row>
    <row r="306" spans="1:11" ht="20.100000000000001" customHeight="1" x14ac:dyDescent="0.25">
      <c r="A306" s="7" t="s">
        <v>963</v>
      </c>
      <c r="B306" s="20">
        <v>13815672</v>
      </c>
      <c r="C306" s="8">
        <v>848342015623</v>
      </c>
      <c r="D306" s="6" t="s">
        <v>1219</v>
      </c>
      <c r="E306" s="7">
        <v>1</v>
      </c>
      <c r="F306" s="9">
        <v>89.99</v>
      </c>
      <c r="G306" s="21">
        <v>89.99</v>
      </c>
      <c r="H306" s="7" t="s">
        <v>771</v>
      </c>
      <c r="I306" s="7" t="s">
        <v>684</v>
      </c>
      <c r="J306" s="7" t="s">
        <v>895</v>
      </c>
      <c r="K306" s="7" t="str">
        <f>HYPERLINK("http://slimages.macys.com/is/image/MCY/11437719 ")</f>
        <v xml:space="preserve">http://slimages.macys.com/is/image/MCY/11437719 </v>
      </c>
    </row>
    <row r="307" spans="1:11" ht="20.100000000000001" customHeight="1" x14ac:dyDescent="0.25">
      <c r="A307" s="7" t="s">
        <v>963</v>
      </c>
      <c r="B307" s="20">
        <v>13815672</v>
      </c>
      <c r="C307" s="8">
        <v>848742087060</v>
      </c>
      <c r="D307" s="6" t="s">
        <v>1220</v>
      </c>
      <c r="E307" s="7">
        <v>1</v>
      </c>
      <c r="F307" s="9">
        <v>238.99</v>
      </c>
      <c r="G307" s="21">
        <v>238.99</v>
      </c>
      <c r="H307" s="7" t="s">
        <v>691</v>
      </c>
      <c r="I307" s="7" t="s">
        <v>674</v>
      </c>
      <c r="J307" s="7" t="s">
        <v>675</v>
      </c>
      <c r="K307" s="7" t="str">
        <f>HYPERLINK("http://slimages.macys.com/is/image/MCY/15504330 ")</f>
        <v xml:space="preserve">http://slimages.macys.com/is/image/MCY/15504330 </v>
      </c>
    </row>
    <row r="308" spans="1:11" ht="20.100000000000001" customHeight="1" x14ac:dyDescent="0.25">
      <c r="A308" s="7" t="s">
        <v>963</v>
      </c>
      <c r="B308" s="20">
        <v>13815672</v>
      </c>
      <c r="C308" s="8">
        <v>850335004200</v>
      </c>
      <c r="D308" s="6" t="s">
        <v>1221</v>
      </c>
      <c r="E308" s="7">
        <v>1</v>
      </c>
      <c r="F308" s="9">
        <v>41.99</v>
      </c>
      <c r="G308" s="21">
        <v>41.99</v>
      </c>
      <c r="H308" s="7" t="s">
        <v>668</v>
      </c>
      <c r="I308" s="7" t="s">
        <v>752</v>
      </c>
      <c r="J308" s="7" t="s">
        <v>818</v>
      </c>
      <c r="K308" s="7" t="str">
        <f>HYPERLINK("http://slimages.macys.com/is/image/MCY/10753778 ")</f>
        <v xml:space="preserve">http://slimages.macys.com/is/image/MCY/10753778 </v>
      </c>
    </row>
    <row r="309" spans="1:11" ht="20.100000000000001" customHeight="1" x14ac:dyDescent="0.25">
      <c r="A309" s="7" t="s">
        <v>963</v>
      </c>
      <c r="B309" s="20">
        <v>13815672</v>
      </c>
      <c r="C309" s="8">
        <v>869598000218</v>
      </c>
      <c r="D309" s="6" t="s">
        <v>1222</v>
      </c>
      <c r="E309" s="7">
        <v>1</v>
      </c>
      <c r="F309" s="9">
        <v>19.989999999999998</v>
      </c>
      <c r="G309" s="21">
        <v>19.989999999999998</v>
      </c>
      <c r="H309" s="7" t="s">
        <v>665</v>
      </c>
      <c r="I309" s="7" t="s">
        <v>666</v>
      </c>
      <c r="J309" s="7" t="s">
        <v>806</v>
      </c>
      <c r="K309" s="7" t="str">
        <f>HYPERLINK("http://slimages.macys.com/is/image/MCY/19064524 ")</f>
        <v xml:space="preserve">http://slimages.macys.com/is/image/MCY/19064524 </v>
      </c>
    </row>
    <row r="310" spans="1:11" ht="20.100000000000001" customHeight="1" x14ac:dyDescent="0.25">
      <c r="A310" s="7" t="s">
        <v>963</v>
      </c>
      <c r="B310" s="20">
        <v>13815672</v>
      </c>
      <c r="C310" s="8">
        <v>883893388215</v>
      </c>
      <c r="D310" s="6" t="s">
        <v>1223</v>
      </c>
      <c r="E310" s="7">
        <v>1</v>
      </c>
      <c r="F310" s="9">
        <v>129.99</v>
      </c>
      <c r="G310" s="21">
        <v>129.99</v>
      </c>
      <c r="H310" s="7" t="s">
        <v>691</v>
      </c>
      <c r="I310" s="7" t="s">
        <v>689</v>
      </c>
      <c r="J310" s="7" t="s">
        <v>861</v>
      </c>
      <c r="K310" s="7" t="str">
        <f>HYPERLINK("http://slimages.macys.com/is/image/MCY/3116958 ")</f>
        <v xml:space="preserve">http://slimages.macys.com/is/image/MCY/3116958 </v>
      </c>
    </row>
    <row r="311" spans="1:11" ht="20.100000000000001" customHeight="1" x14ac:dyDescent="0.25">
      <c r="A311" s="7" t="s">
        <v>963</v>
      </c>
      <c r="B311" s="20">
        <v>13815672</v>
      </c>
      <c r="C311" s="8">
        <v>883893429048</v>
      </c>
      <c r="D311" s="6" t="s">
        <v>1224</v>
      </c>
      <c r="E311" s="7">
        <v>1</v>
      </c>
      <c r="F311" s="9">
        <v>99.99</v>
      </c>
      <c r="G311" s="21">
        <v>99.99</v>
      </c>
      <c r="H311" s="7" t="s">
        <v>721</v>
      </c>
      <c r="I311" s="7" t="s">
        <v>674</v>
      </c>
      <c r="J311" s="7" t="s">
        <v>748</v>
      </c>
      <c r="K311" s="7" t="str">
        <f>HYPERLINK("http://slimages.macys.com/is/image/MCY/11262083 ")</f>
        <v xml:space="preserve">http://slimages.macys.com/is/image/MCY/11262083 </v>
      </c>
    </row>
    <row r="312" spans="1:11" ht="20.100000000000001" customHeight="1" x14ac:dyDescent="0.25">
      <c r="A312" s="7" t="s">
        <v>963</v>
      </c>
      <c r="B312" s="20">
        <v>13815672</v>
      </c>
      <c r="C312" s="8">
        <v>883893478589</v>
      </c>
      <c r="D312" s="6" t="s">
        <v>1225</v>
      </c>
      <c r="E312" s="7">
        <v>1</v>
      </c>
      <c r="F312" s="9">
        <v>179.99</v>
      </c>
      <c r="G312" s="21">
        <v>179.99</v>
      </c>
      <c r="H312" s="7" t="s">
        <v>785</v>
      </c>
      <c r="I312" s="7" t="s">
        <v>689</v>
      </c>
      <c r="J312" s="7" t="s">
        <v>722</v>
      </c>
      <c r="K312" s="7" t="str">
        <f>HYPERLINK("http://slimages.macys.com/is/image/MCY/10276290 ")</f>
        <v xml:space="preserve">http://slimages.macys.com/is/image/MCY/10276290 </v>
      </c>
    </row>
    <row r="313" spans="1:11" ht="20.100000000000001" customHeight="1" x14ac:dyDescent="0.25">
      <c r="A313" s="7" t="s">
        <v>963</v>
      </c>
      <c r="B313" s="20">
        <v>13815672</v>
      </c>
      <c r="C313" s="8">
        <v>883893508309</v>
      </c>
      <c r="D313" s="6" t="s">
        <v>1226</v>
      </c>
      <c r="E313" s="7">
        <v>1</v>
      </c>
      <c r="F313" s="9">
        <v>179.99</v>
      </c>
      <c r="G313" s="21">
        <v>179.99</v>
      </c>
      <c r="H313" s="7" t="s">
        <v>707</v>
      </c>
      <c r="I313" s="7" t="s">
        <v>674</v>
      </c>
      <c r="J313" s="7" t="s">
        <v>748</v>
      </c>
      <c r="K313" s="7" t="str">
        <f>HYPERLINK("http://slimages.macys.com/is/image/MCY/12099415 ")</f>
        <v xml:space="preserve">http://slimages.macys.com/is/image/MCY/12099415 </v>
      </c>
    </row>
    <row r="314" spans="1:11" ht="20.100000000000001" customHeight="1" x14ac:dyDescent="0.25">
      <c r="A314" s="7" t="s">
        <v>963</v>
      </c>
      <c r="B314" s="20">
        <v>13815672</v>
      </c>
      <c r="C314" s="8">
        <v>883893542044</v>
      </c>
      <c r="D314" s="6" t="s">
        <v>1227</v>
      </c>
      <c r="E314" s="7">
        <v>1</v>
      </c>
      <c r="F314" s="9">
        <v>39.99</v>
      </c>
      <c r="G314" s="21">
        <v>39.99</v>
      </c>
      <c r="H314" s="7" t="s">
        <v>668</v>
      </c>
      <c r="I314" s="7" t="s">
        <v>689</v>
      </c>
      <c r="J314" s="7" t="s">
        <v>722</v>
      </c>
      <c r="K314" s="7" t="str">
        <f>HYPERLINK("http://slimages.macys.com/is/image/MCY/12948224 ")</f>
        <v xml:space="preserve">http://slimages.macys.com/is/image/MCY/12948224 </v>
      </c>
    </row>
    <row r="315" spans="1:11" ht="20.100000000000001" customHeight="1" x14ac:dyDescent="0.25">
      <c r="A315" s="7" t="s">
        <v>963</v>
      </c>
      <c r="B315" s="20">
        <v>13815672</v>
      </c>
      <c r="C315" s="8">
        <v>883893634640</v>
      </c>
      <c r="D315" s="6" t="s">
        <v>1228</v>
      </c>
      <c r="E315" s="7">
        <v>1</v>
      </c>
      <c r="F315" s="9">
        <v>99.99</v>
      </c>
      <c r="G315" s="21">
        <v>99.99</v>
      </c>
      <c r="H315" s="7" t="s">
        <v>744</v>
      </c>
      <c r="I315" s="7" t="s">
        <v>723</v>
      </c>
      <c r="J315" s="7" t="s">
        <v>783</v>
      </c>
      <c r="K315" s="7" t="str">
        <f>HYPERLINK("http://slimages.macys.com/is/image/MCY/15730140 ")</f>
        <v xml:space="preserve">http://slimages.macys.com/is/image/MCY/15730140 </v>
      </c>
    </row>
    <row r="316" spans="1:11" ht="20.100000000000001" customHeight="1" x14ac:dyDescent="0.25">
      <c r="A316" s="7" t="s">
        <v>963</v>
      </c>
      <c r="B316" s="20">
        <v>13815672</v>
      </c>
      <c r="C316" s="8">
        <v>651896660108</v>
      </c>
      <c r="D316" s="6" t="s">
        <v>1229</v>
      </c>
      <c r="E316" s="7">
        <v>1</v>
      </c>
      <c r="F316" s="9">
        <v>24.99</v>
      </c>
      <c r="G316" s="21">
        <v>24.99</v>
      </c>
      <c r="H316" s="7"/>
      <c r="I316" s="7" t="s">
        <v>674</v>
      </c>
      <c r="J316" s="7" t="s">
        <v>927</v>
      </c>
      <c r="K316" s="7"/>
    </row>
    <row r="317" spans="1:11" ht="20.100000000000001" customHeight="1" x14ac:dyDescent="0.25">
      <c r="A317" s="7" t="s">
        <v>963</v>
      </c>
      <c r="B317" s="20">
        <v>13815672</v>
      </c>
      <c r="C317" s="8">
        <v>86569638076</v>
      </c>
      <c r="D317" s="6" t="s">
        <v>1230</v>
      </c>
      <c r="E317" s="7">
        <v>1</v>
      </c>
      <c r="F317" s="9">
        <v>59.99</v>
      </c>
      <c r="G317" s="21">
        <v>59.99</v>
      </c>
      <c r="H317" s="7" t="s">
        <v>711</v>
      </c>
      <c r="I317" s="7" t="s">
        <v>736</v>
      </c>
      <c r="J317" s="7" t="s">
        <v>679</v>
      </c>
      <c r="K317" s="7"/>
    </row>
    <row r="318" spans="1:11" ht="20.100000000000001" customHeight="1" x14ac:dyDescent="0.25">
      <c r="A318" s="7" t="s">
        <v>963</v>
      </c>
      <c r="B318" s="20">
        <v>13815672</v>
      </c>
      <c r="C318" s="8">
        <v>733003023683</v>
      </c>
      <c r="D318" s="6" t="s">
        <v>1231</v>
      </c>
      <c r="E318" s="7">
        <v>1</v>
      </c>
      <c r="F318" s="9">
        <v>299.99</v>
      </c>
      <c r="G318" s="21">
        <v>299.99</v>
      </c>
      <c r="H318" s="7" t="s">
        <v>704</v>
      </c>
      <c r="I318" s="7" t="s">
        <v>680</v>
      </c>
      <c r="J318" s="7" t="s">
        <v>816</v>
      </c>
      <c r="K318" s="7"/>
    </row>
    <row r="319" spans="1:11" ht="20.100000000000001" customHeight="1" x14ac:dyDescent="0.25">
      <c r="A319" s="7" t="s">
        <v>963</v>
      </c>
      <c r="B319" s="20">
        <v>13815672</v>
      </c>
      <c r="C319" s="8">
        <v>733003973599</v>
      </c>
      <c r="D319" s="6" t="s">
        <v>1232</v>
      </c>
      <c r="E319" s="7">
        <v>1</v>
      </c>
      <c r="F319" s="9">
        <v>299.99</v>
      </c>
      <c r="G319" s="21">
        <v>299.99</v>
      </c>
      <c r="H319" s="7" t="s">
        <v>671</v>
      </c>
      <c r="I319" s="7" t="s">
        <v>680</v>
      </c>
      <c r="J319" s="7" t="s">
        <v>817</v>
      </c>
      <c r="K319" s="7"/>
    </row>
    <row r="320" spans="1:11" ht="20.100000000000001" customHeight="1" x14ac:dyDescent="0.25">
      <c r="A320" s="7" t="s">
        <v>963</v>
      </c>
      <c r="B320" s="20">
        <v>13815672</v>
      </c>
      <c r="C320" s="8">
        <v>733002875580</v>
      </c>
      <c r="D320" s="6" t="s">
        <v>1233</v>
      </c>
      <c r="E320" s="7">
        <v>1</v>
      </c>
      <c r="F320" s="9">
        <v>249.99</v>
      </c>
      <c r="G320" s="21">
        <v>249.99</v>
      </c>
      <c r="H320" s="7" t="s">
        <v>707</v>
      </c>
      <c r="I320" s="7" t="s">
        <v>680</v>
      </c>
      <c r="J320" s="7" t="s">
        <v>747</v>
      </c>
      <c r="K320" s="7"/>
    </row>
    <row r="321" spans="1:11" ht="20.100000000000001" customHeight="1" x14ac:dyDescent="0.25">
      <c r="A321" s="7" t="s">
        <v>963</v>
      </c>
      <c r="B321" s="20">
        <v>13815672</v>
      </c>
      <c r="C321" s="8">
        <v>733003557126</v>
      </c>
      <c r="D321" s="6" t="s">
        <v>1234</v>
      </c>
      <c r="E321" s="7">
        <v>1</v>
      </c>
      <c r="F321" s="9">
        <v>34.99</v>
      </c>
      <c r="G321" s="21">
        <v>34.99</v>
      </c>
      <c r="H321" s="7" t="s">
        <v>704</v>
      </c>
      <c r="I321" s="7" t="s">
        <v>808</v>
      </c>
      <c r="J321" s="7" t="s">
        <v>146</v>
      </c>
      <c r="K321" s="7"/>
    </row>
    <row r="322" spans="1:11" ht="20.100000000000001" customHeight="1" x14ac:dyDescent="0.25">
      <c r="A322" s="7" t="s">
        <v>963</v>
      </c>
      <c r="B322" s="20">
        <v>13815672</v>
      </c>
      <c r="C322" s="8">
        <v>733003889937</v>
      </c>
      <c r="D322" s="6" t="s">
        <v>1235</v>
      </c>
      <c r="E322" s="7">
        <v>1</v>
      </c>
      <c r="F322" s="9">
        <v>139.99</v>
      </c>
      <c r="G322" s="21">
        <v>139.99</v>
      </c>
      <c r="H322" s="7" t="s">
        <v>668</v>
      </c>
      <c r="I322" s="7" t="s">
        <v>1236</v>
      </c>
      <c r="J322" s="7" t="s">
        <v>147</v>
      </c>
      <c r="K322" s="7"/>
    </row>
    <row r="323" spans="1:11" ht="20.100000000000001" customHeight="1" x14ac:dyDescent="0.25">
      <c r="A323" s="7" t="s">
        <v>963</v>
      </c>
      <c r="B323" s="20">
        <v>13815672</v>
      </c>
      <c r="C323" s="8">
        <v>733003657994</v>
      </c>
      <c r="D323" s="6" t="s">
        <v>1237</v>
      </c>
      <c r="E323" s="7">
        <v>1</v>
      </c>
      <c r="F323" s="9">
        <v>299</v>
      </c>
      <c r="G323" s="21">
        <v>299</v>
      </c>
      <c r="H323" s="7" t="s">
        <v>668</v>
      </c>
      <c r="I323" s="7" t="s">
        <v>680</v>
      </c>
      <c r="J323" s="7" t="s">
        <v>816</v>
      </c>
      <c r="K323" s="7"/>
    </row>
    <row r="324" spans="1:11" ht="20.100000000000001" customHeight="1" x14ac:dyDescent="0.25">
      <c r="A324" s="7" t="s">
        <v>963</v>
      </c>
      <c r="B324" s="20">
        <v>13815672</v>
      </c>
      <c r="C324" s="8">
        <v>810076485379</v>
      </c>
      <c r="D324" s="6" t="s">
        <v>1238</v>
      </c>
      <c r="E324" s="7">
        <v>1</v>
      </c>
      <c r="F324" s="9">
        <v>14.99</v>
      </c>
      <c r="G324" s="21">
        <v>14.99</v>
      </c>
      <c r="H324" s="7" t="s">
        <v>704</v>
      </c>
      <c r="I324" s="7" t="s">
        <v>752</v>
      </c>
      <c r="J324" s="7" t="s">
        <v>148</v>
      </c>
      <c r="K324" s="7"/>
    </row>
    <row r="325" spans="1:11" ht="20.100000000000001" customHeight="1" x14ac:dyDescent="0.25">
      <c r="A325" s="7" t="s">
        <v>963</v>
      </c>
      <c r="B325" s="20">
        <v>13815672</v>
      </c>
      <c r="C325" s="8">
        <v>29927581782</v>
      </c>
      <c r="D325" s="6" t="s">
        <v>1239</v>
      </c>
      <c r="E325" s="7">
        <v>2</v>
      </c>
      <c r="F325" s="9">
        <v>25.99</v>
      </c>
      <c r="G325" s="21">
        <v>51.98</v>
      </c>
      <c r="H325" s="7" t="s">
        <v>833</v>
      </c>
      <c r="I325" s="7" t="s">
        <v>674</v>
      </c>
      <c r="J325" s="7" t="s">
        <v>702</v>
      </c>
      <c r="K325" s="7"/>
    </row>
    <row r="326" spans="1:11" ht="20.100000000000001" customHeight="1" x14ac:dyDescent="0.25">
      <c r="A326" s="7" t="s">
        <v>963</v>
      </c>
      <c r="B326" s="20">
        <v>13815672</v>
      </c>
      <c r="C326" s="8">
        <v>733004207099</v>
      </c>
      <c r="D326" s="6" t="s">
        <v>1240</v>
      </c>
      <c r="E326" s="7">
        <v>1</v>
      </c>
      <c r="F326" s="9">
        <v>16.989999999999998</v>
      </c>
      <c r="G326" s="21">
        <v>16.989999999999998</v>
      </c>
      <c r="H326" s="7" t="s">
        <v>671</v>
      </c>
      <c r="I326" s="7" t="s">
        <v>694</v>
      </c>
      <c r="J326" s="7" t="s">
        <v>695</v>
      </c>
      <c r="K326" s="7"/>
    </row>
    <row r="327" spans="1:11" ht="20.100000000000001" customHeight="1" x14ac:dyDescent="0.25">
      <c r="A327" s="7" t="s">
        <v>963</v>
      </c>
      <c r="B327" s="20">
        <v>13815672</v>
      </c>
      <c r="C327" s="8">
        <v>194938026314</v>
      </c>
      <c r="D327" s="6" t="s">
        <v>1241</v>
      </c>
      <c r="E327" s="7">
        <v>1</v>
      </c>
      <c r="F327" s="9">
        <v>24.99</v>
      </c>
      <c r="G327" s="21">
        <v>24.99</v>
      </c>
      <c r="H327" s="7" t="s">
        <v>677</v>
      </c>
      <c r="I327" s="7" t="s">
        <v>674</v>
      </c>
      <c r="J327" s="7" t="s">
        <v>675</v>
      </c>
      <c r="K327" s="7"/>
    </row>
    <row r="328" spans="1:11" ht="20.100000000000001" customHeight="1" x14ac:dyDescent="0.25">
      <c r="A328" s="7" t="s">
        <v>963</v>
      </c>
      <c r="B328" s="20">
        <v>13815672</v>
      </c>
      <c r="C328" s="8">
        <v>191790054301</v>
      </c>
      <c r="D328" s="6" t="s">
        <v>1242</v>
      </c>
      <c r="E328" s="7">
        <v>1</v>
      </c>
      <c r="F328" s="9">
        <v>49.99</v>
      </c>
      <c r="G328" s="21">
        <v>49.99</v>
      </c>
      <c r="H328" s="7" t="s">
        <v>717</v>
      </c>
      <c r="I328" s="7" t="s">
        <v>666</v>
      </c>
      <c r="J328" s="7" t="s">
        <v>706</v>
      </c>
      <c r="K328" s="7"/>
    </row>
    <row r="329" spans="1:11" ht="20.100000000000001" customHeight="1" x14ac:dyDescent="0.25">
      <c r="A329" s="7" t="s">
        <v>963</v>
      </c>
      <c r="B329" s="20">
        <v>13815672</v>
      </c>
      <c r="C329" s="8">
        <v>733003645045</v>
      </c>
      <c r="D329" s="6" t="s">
        <v>1243</v>
      </c>
      <c r="E329" s="7">
        <v>1</v>
      </c>
      <c r="F329" s="9">
        <v>25.99</v>
      </c>
      <c r="G329" s="21">
        <v>25.99</v>
      </c>
      <c r="H329" s="7" t="s">
        <v>744</v>
      </c>
      <c r="I329" s="7" t="s">
        <v>836</v>
      </c>
      <c r="J329" s="7" t="s">
        <v>149</v>
      </c>
      <c r="K329" s="7"/>
    </row>
    <row r="330" spans="1:11" ht="20.100000000000001" customHeight="1" x14ac:dyDescent="0.25">
      <c r="A330" s="7" t="s">
        <v>963</v>
      </c>
      <c r="B330" s="20">
        <v>13815672</v>
      </c>
      <c r="C330" s="8">
        <v>83013004555</v>
      </c>
      <c r="D330" s="6" t="s">
        <v>1244</v>
      </c>
      <c r="E330" s="7">
        <v>1</v>
      </c>
      <c r="F330" s="9">
        <v>149.99</v>
      </c>
      <c r="G330" s="21">
        <v>149.99</v>
      </c>
      <c r="H330" s="7" t="s">
        <v>668</v>
      </c>
      <c r="I330" s="7" t="s">
        <v>689</v>
      </c>
      <c r="J330" s="7" t="s">
        <v>769</v>
      </c>
      <c r="K330" s="7"/>
    </row>
    <row r="331" spans="1:11" ht="20.100000000000001" customHeight="1" x14ac:dyDescent="0.25">
      <c r="A331" s="7" t="s">
        <v>963</v>
      </c>
      <c r="B331" s="20">
        <v>13815672</v>
      </c>
      <c r="C331" s="8">
        <v>193842103852</v>
      </c>
      <c r="D331" s="6" t="s">
        <v>795</v>
      </c>
      <c r="E331" s="7">
        <v>1</v>
      </c>
      <c r="F331" s="9">
        <v>69.989999999999995</v>
      </c>
      <c r="G331" s="21">
        <v>69.989999999999995</v>
      </c>
      <c r="H331" s="7" t="s">
        <v>768</v>
      </c>
      <c r="I331" s="7" t="s">
        <v>689</v>
      </c>
      <c r="J331" s="7" t="s">
        <v>690</v>
      </c>
      <c r="K331" s="7"/>
    </row>
    <row r="332" spans="1:11" ht="20.100000000000001" customHeight="1" x14ac:dyDescent="0.25">
      <c r="A332" s="7" t="s">
        <v>963</v>
      </c>
      <c r="B332" s="20">
        <v>13815672</v>
      </c>
      <c r="C332" s="8">
        <v>734737686397</v>
      </c>
      <c r="D332" s="6" t="s">
        <v>1245</v>
      </c>
      <c r="E332" s="7">
        <v>1</v>
      </c>
      <c r="F332" s="9">
        <v>49.99</v>
      </c>
      <c r="G332" s="21">
        <v>49.99</v>
      </c>
      <c r="H332" s="7" t="s">
        <v>704</v>
      </c>
      <c r="I332" s="7" t="s">
        <v>672</v>
      </c>
      <c r="J332" s="7" t="s">
        <v>696</v>
      </c>
      <c r="K332" s="7"/>
    </row>
    <row r="333" spans="1:11" ht="20.100000000000001" customHeight="1" x14ac:dyDescent="0.25">
      <c r="A333" s="7" t="s">
        <v>963</v>
      </c>
      <c r="B333" s="20">
        <v>13815672</v>
      </c>
      <c r="C333" s="8">
        <v>733003878078</v>
      </c>
      <c r="D333" s="6" t="s">
        <v>1246</v>
      </c>
      <c r="E333" s="7">
        <v>1</v>
      </c>
      <c r="F333" s="9">
        <v>119.99</v>
      </c>
      <c r="G333" s="21">
        <v>119.99</v>
      </c>
      <c r="H333" s="7" t="s">
        <v>668</v>
      </c>
      <c r="I333" s="7" t="s">
        <v>1236</v>
      </c>
      <c r="J333" s="7" t="s">
        <v>147</v>
      </c>
      <c r="K333" s="7"/>
    </row>
    <row r="334" spans="1:11" ht="20.100000000000001" customHeight="1" x14ac:dyDescent="0.25">
      <c r="A334" s="7" t="s">
        <v>963</v>
      </c>
      <c r="B334" s="20">
        <v>13815672</v>
      </c>
      <c r="C334" s="8">
        <v>810012744645</v>
      </c>
      <c r="D334" s="6" t="s">
        <v>1247</v>
      </c>
      <c r="E334" s="7">
        <v>1</v>
      </c>
      <c r="F334" s="9">
        <v>27.99</v>
      </c>
      <c r="G334" s="21">
        <v>27.99</v>
      </c>
      <c r="H334" s="7" t="s">
        <v>721</v>
      </c>
      <c r="I334" s="7" t="s">
        <v>674</v>
      </c>
      <c r="J334" s="7" t="s">
        <v>888</v>
      </c>
      <c r="K334" s="7"/>
    </row>
    <row r="335" spans="1:11" ht="20.100000000000001" customHeight="1" x14ac:dyDescent="0.25">
      <c r="A335" s="7" t="s">
        <v>963</v>
      </c>
      <c r="B335" s="20">
        <v>13815672</v>
      </c>
      <c r="C335" s="8">
        <v>400013532725</v>
      </c>
      <c r="D335" s="6" t="s">
        <v>713</v>
      </c>
      <c r="E335" s="7">
        <v>1</v>
      </c>
      <c r="F335" s="9">
        <v>40</v>
      </c>
      <c r="G335" s="21">
        <v>40</v>
      </c>
      <c r="H335" s="7" t="s">
        <v>714</v>
      </c>
      <c r="I335" s="7" t="s">
        <v>715</v>
      </c>
      <c r="J335" s="7" t="s">
        <v>716</v>
      </c>
      <c r="K335" s="7"/>
    </row>
    <row r="336" spans="1:11" ht="20.100000000000001" customHeight="1" x14ac:dyDescent="0.25">
      <c r="A336" s="7" t="s">
        <v>963</v>
      </c>
      <c r="B336" s="20">
        <v>13815672</v>
      </c>
      <c r="C336" s="8">
        <v>400013532725</v>
      </c>
      <c r="D336" s="6" t="s">
        <v>713</v>
      </c>
      <c r="E336" s="7">
        <v>4</v>
      </c>
      <c r="F336" s="9">
        <v>40</v>
      </c>
      <c r="G336" s="21">
        <v>160</v>
      </c>
      <c r="H336" s="7" t="s">
        <v>714</v>
      </c>
      <c r="I336" s="7" t="s">
        <v>715</v>
      </c>
      <c r="J336" s="7" t="s">
        <v>716</v>
      </c>
      <c r="K336" s="7"/>
    </row>
    <row r="337" spans="1:11" ht="20.100000000000001" customHeight="1" x14ac:dyDescent="0.25">
      <c r="A337" s="7" t="s">
        <v>963</v>
      </c>
      <c r="B337" s="20">
        <v>13815672</v>
      </c>
      <c r="C337" s="8">
        <v>400013532725</v>
      </c>
      <c r="D337" s="6" t="s">
        <v>713</v>
      </c>
      <c r="E337" s="7">
        <v>3</v>
      </c>
      <c r="F337" s="9">
        <v>40</v>
      </c>
      <c r="G337" s="21">
        <v>120</v>
      </c>
      <c r="H337" s="7" t="s">
        <v>714</v>
      </c>
      <c r="I337" s="7" t="s">
        <v>715</v>
      </c>
      <c r="J337" s="7" t="s">
        <v>716</v>
      </c>
      <c r="K337" s="7"/>
    </row>
    <row r="338" spans="1:11" ht="20.100000000000001" customHeight="1" x14ac:dyDescent="0.25">
      <c r="A338" s="7" t="s">
        <v>963</v>
      </c>
      <c r="B338" s="20">
        <v>13815672</v>
      </c>
      <c r="C338" s="8">
        <v>400013532725</v>
      </c>
      <c r="D338" s="6" t="s">
        <v>713</v>
      </c>
      <c r="E338" s="7">
        <v>5</v>
      </c>
      <c r="F338" s="9">
        <v>40</v>
      </c>
      <c r="G338" s="21">
        <v>200</v>
      </c>
      <c r="H338" s="7" t="s">
        <v>714</v>
      </c>
      <c r="I338" s="7" t="s">
        <v>715</v>
      </c>
      <c r="J338" s="7" t="s">
        <v>716</v>
      </c>
      <c r="K338" s="7"/>
    </row>
    <row r="339" spans="1:11" ht="20.100000000000001" customHeight="1" x14ac:dyDescent="0.25">
      <c r="A339" s="7" t="s">
        <v>963</v>
      </c>
      <c r="B339" s="20">
        <v>13815672</v>
      </c>
      <c r="C339" s="8">
        <v>400013532725</v>
      </c>
      <c r="D339" s="6" t="s">
        <v>713</v>
      </c>
      <c r="E339" s="7">
        <v>1</v>
      </c>
      <c r="F339" s="9">
        <v>40</v>
      </c>
      <c r="G339" s="21">
        <v>40</v>
      </c>
      <c r="H339" s="7" t="s">
        <v>714</v>
      </c>
      <c r="I339" s="7" t="s">
        <v>715</v>
      </c>
      <c r="J339" s="7" t="s">
        <v>716</v>
      </c>
      <c r="K339" s="7"/>
    </row>
    <row r="340" spans="1:11" ht="20.100000000000001" customHeight="1" x14ac:dyDescent="0.25">
      <c r="A340" s="7" t="s">
        <v>963</v>
      </c>
      <c r="B340" s="20">
        <v>13815672</v>
      </c>
      <c r="C340" s="8">
        <v>400013532725</v>
      </c>
      <c r="D340" s="6" t="s">
        <v>713</v>
      </c>
      <c r="E340" s="7">
        <v>8</v>
      </c>
      <c r="F340" s="9">
        <v>40</v>
      </c>
      <c r="G340" s="21">
        <v>320</v>
      </c>
      <c r="H340" s="7" t="s">
        <v>714</v>
      </c>
      <c r="I340" s="7" t="s">
        <v>715</v>
      </c>
      <c r="J340" s="7" t="s">
        <v>716</v>
      </c>
      <c r="K340" s="7"/>
    </row>
    <row r="341" spans="1:11" ht="20.100000000000001" customHeight="1" x14ac:dyDescent="0.25">
      <c r="A341" s="7" t="s">
        <v>963</v>
      </c>
      <c r="B341" s="20">
        <v>13815672</v>
      </c>
      <c r="C341" s="8">
        <v>400013532725</v>
      </c>
      <c r="D341" s="6" t="s">
        <v>713</v>
      </c>
      <c r="E341" s="7">
        <v>2</v>
      </c>
      <c r="F341" s="9">
        <v>40</v>
      </c>
      <c r="G341" s="21">
        <v>80</v>
      </c>
      <c r="H341" s="7" t="s">
        <v>714</v>
      </c>
      <c r="I341" s="7" t="s">
        <v>715</v>
      </c>
      <c r="J341" s="7" t="s">
        <v>716</v>
      </c>
      <c r="K341" s="7"/>
    </row>
    <row r="342" spans="1:11" ht="20.100000000000001" customHeight="1" x14ac:dyDescent="0.25">
      <c r="A342" s="7" t="s">
        <v>963</v>
      </c>
      <c r="B342" s="20">
        <v>13815672</v>
      </c>
      <c r="C342" s="8">
        <v>679610838497</v>
      </c>
      <c r="D342" s="6" t="s">
        <v>1248</v>
      </c>
      <c r="E342" s="7">
        <v>1</v>
      </c>
      <c r="F342" s="9">
        <v>99.99</v>
      </c>
      <c r="G342" s="21">
        <v>99.99</v>
      </c>
      <c r="H342" s="7" t="s">
        <v>919</v>
      </c>
      <c r="I342" s="7" t="s">
        <v>672</v>
      </c>
      <c r="J342" s="7" t="s">
        <v>774</v>
      </c>
      <c r="K342" s="7"/>
    </row>
    <row r="343" spans="1:11" ht="20.100000000000001" customHeight="1" x14ac:dyDescent="0.25">
      <c r="A343" s="7" t="s">
        <v>963</v>
      </c>
      <c r="B343" s="20">
        <v>13815672</v>
      </c>
      <c r="C343" s="8">
        <v>810028304734</v>
      </c>
      <c r="D343" s="6" t="s">
        <v>1249</v>
      </c>
      <c r="E343" s="7">
        <v>1</v>
      </c>
      <c r="F343" s="9">
        <v>59.99</v>
      </c>
      <c r="G343" s="21">
        <v>59.99</v>
      </c>
      <c r="H343" s="7" t="s">
        <v>768</v>
      </c>
      <c r="I343" s="7" t="s">
        <v>674</v>
      </c>
      <c r="J343" s="7" t="s">
        <v>150</v>
      </c>
      <c r="K343" s="7"/>
    </row>
    <row r="344" spans="1:11" ht="20.100000000000001" customHeight="1" x14ac:dyDescent="0.25">
      <c r="A344" s="7" t="s">
        <v>963</v>
      </c>
      <c r="B344" s="20">
        <v>13815672</v>
      </c>
      <c r="C344" s="8">
        <v>193842119549</v>
      </c>
      <c r="D344" s="6" t="s">
        <v>1250</v>
      </c>
      <c r="E344" s="7">
        <v>2</v>
      </c>
      <c r="F344" s="9">
        <v>54.99</v>
      </c>
      <c r="G344" s="21">
        <v>109.98</v>
      </c>
      <c r="H344" s="7" t="s">
        <v>665</v>
      </c>
      <c r="I344" s="7" t="s">
        <v>689</v>
      </c>
      <c r="J344" s="7" t="s">
        <v>690</v>
      </c>
      <c r="K344" s="7"/>
    </row>
    <row r="345" spans="1:11" ht="20.100000000000001" customHeight="1" x14ac:dyDescent="0.25">
      <c r="A345" s="7" t="s">
        <v>963</v>
      </c>
      <c r="B345" s="20">
        <v>13815672</v>
      </c>
      <c r="C345" s="8">
        <v>191790054288</v>
      </c>
      <c r="D345" s="6" t="s">
        <v>1251</v>
      </c>
      <c r="E345" s="7">
        <v>1</v>
      </c>
      <c r="F345" s="9">
        <v>49.99</v>
      </c>
      <c r="G345" s="21">
        <v>49.99</v>
      </c>
      <c r="H345" s="7" t="s">
        <v>707</v>
      </c>
      <c r="I345" s="7" t="s">
        <v>666</v>
      </c>
      <c r="J345" s="7" t="s">
        <v>706</v>
      </c>
      <c r="K345" s="7"/>
    </row>
    <row r="346" spans="1:11" ht="20.100000000000001" customHeight="1" x14ac:dyDescent="0.25">
      <c r="A346" s="7" t="s">
        <v>963</v>
      </c>
      <c r="B346" s="20">
        <v>13815672</v>
      </c>
      <c r="C346" s="8">
        <v>734737686519</v>
      </c>
      <c r="D346" s="6" t="s">
        <v>1252</v>
      </c>
      <c r="E346" s="7">
        <v>1</v>
      </c>
      <c r="F346" s="9">
        <v>49.99</v>
      </c>
      <c r="G346" s="21">
        <v>49.99</v>
      </c>
      <c r="H346" s="7" t="s">
        <v>707</v>
      </c>
      <c r="I346" s="7" t="s">
        <v>672</v>
      </c>
      <c r="J346" s="7" t="s">
        <v>696</v>
      </c>
      <c r="K346" s="7"/>
    </row>
    <row r="347" spans="1:11" ht="20.100000000000001" customHeight="1" x14ac:dyDescent="0.25">
      <c r="A347" s="7" t="s">
        <v>963</v>
      </c>
      <c r="B347" s="20">
        <v>13815672</v>
      </c>
      <c r="C347" s="8">
        <v>34086778621</v>
      </c>
      <c r="D347" s="6" t="s">
        <v>1253</v>
      </c>
      <c r="E347" s="7">
        <v>1</v>
      </c>
      <c r="F347" s="9">
        <v>10.99</v>
      </c>
      <c r="G347" s="21">
        <v>10.99</v>
      </c>
      <c r="H347" s="7" t="s">
        <v>668</v>
      </c>
      <c r="I347" s="7" t="s">
        <v>669</v>
      </c>
      <c r="J347" s="7" t="s">
        <v>151</v>
      </c>
      <c r="K347" s="7"/>
    </row>
    <row r="348" spans="1:11" ht="20.100000000000001" customHeight="1" x14ac:dyDescent="0.25">
      <c r="A348" s="7" t="s">
        <v>963</v>
      </c>
      <c r="B348" s="20">
        <v>13815672</v>
      </c>
      <c r="C348" s="8">
        <v>29927583816</v>
      </c>
      <c r="D348" s="6" t="s">
        <v>1254</v>
      </c>
      <c r="E348" s="7">
        <v>1</v>
      </c>
      <c r="F348" s="9">
        <v>17.989999999999998</v>
      </c>
      <c r="G348" s="21">
        <v>17.989999999999998</v>
      </c>
      <c r="H348" s="7" t="s">
        <v>754</v>
      </c>
      <c r="I348" s="7" t="s">
        <v>674</v>
      </c>
      <c r="J348" s="7" t="s">
        <v>702</v>
      </c>
      <c r="K348" s="7"/>
    </row>
    <row r="349" spans="1:11" ht="20.100000000000001" customHeight="1" x14ac:dyDescent="0.25">
      <c r="A349" s="7" t="s">
        <v>963</v>
      </c>
      <c r="B349" s="20">
        <v>13815672</v>
      </c>
      <c r="C349" s="8">
        <v>86569759320</v>
      </c>
      <c r="D349" s="6" t="s">
        <v>1255</v>
      </c>
      <c r="E349" s="7">
        <v>1</v>
      </c>
      <c r="F349" s="9">
        <v>10.99</v>
      </c>
      <c r="G349" s="21">
        <v>10.99</v>
      </c>
      <c r="H349" s="7"/>
      <c r="I349" s="7" t="s">
        <v>682</v>
      </c>
      <c r="J349" s="7" t="s">
        <v>679</v>
      </c>
      <c r="K349" s="7"/>
    </row>
    <row r="350" spans="1:11" ht="20.100000000000001" customHeight="1" x14ac:dyDescent="0.25">
      <c r="A350" s="7" t="s">
        <v>963</v>
      </c>
      <c r="B350" s="20">
        <v>13815672</v>
      </c>
      <c r="C350" s="8">
        <v>651896660078</v>
      </c>
      <c r="D350" s="6" t="s">
        <v>1256</v>
      </c>
      <c r="E350" s="7">
        <v>1</v>
      </c>
      <c r="F350" s="9">
        <v>24.99</v>
      </c>
      <c r="G350" s="21">
        <v>24.99</v>
      </c>
      <c r="H350" s="7"/>
      <c r="I350" s="7" t="s">
        <v>674</v>
      </c>
      <c r="J350" s="7" t="s">
        <v>927</v>
      </c>
      <c r="K350" s="7"/>
    </row>
    <row r="351" spans="1:11" ht="20.100000000000001" customHeight="1" x14ac:dyDescent="0.25">
      <c r="A351" s="7" t="s">
        <v>963</v>
      </c>
      <c r="B351" s="20">
        <v>13815672</v>
      </c>
      <c r="C351" s="8">
        <v>86569720078</v>
      </c>
      <c r="D351" s="6" t="s">
        <v>1257</v>
      </c>
      <c r="E351" s="7">
        <v>1</v>
      </c>
      <c r="F351" s="9">
        <v>179.99</v>
      </c>
      <c r="G351" s="21">
        <v>179.99</v>
      </c>
      <c r="H351" s="7" t="s">
        <v>668</v>
      </c>
      <c r="I351" s="7" t="s">
        <v>672</v>
      </c>
      <c r="J351" s="7" t="s">
        <v>679</v>
      </c>
      <c r="K351" s="7"/>
    </row>
    <row r="352" spans="1:11" ht="20.100000000000001" customHeight="1" x14ac:dyDescent="0.25">
      <c r="A352" s="7" t="s">
        <v>963</v>
      </c>
      <c r="B352" s="20">
        <v>13815672</v>
      </c>
      <c r="C352" s="8">
        <v>734737677883</v>
      </c>
      <c r="D352" s="6" t="s">
        <v>1258</v>
      </c>
      <c r="E352" s="7">
        <v>1</v>
      </c>
      <c r="F352" s="9">
        <v>42.99</v>
      </c>
      <c r="G352" s="21">
        <v>42.99</v>
      </c>
      <c r="H352" s="7" t="s">
        <v>668</v>
      </c>
      <c r="I352" s="7" t="s">
        <v>752</v>
      </c>
      <c r="J352" s="7" t="s">
        <v>840</v>
      </c>
      <c r="K352" s="7"/>
    </row>
    <row r="353" spans="1:11" ht="20.100000000000001" customHeight="1" x14ac:dyDescent="0.25">
      <c r="A353" s="7" t="s">
        <v>963</v>
      </c>
      <c r="B353" s="20">
        <v>13815672</v>
      </c>
      <c r="C353" s="8">
        <v>733003226176</v>
      </c>
      <c r="D353" s="6" t="s">
        <v>1259</v>
      </c>
      <c r="E353" s="7">
        <v>1</v>
      </c>
      <c r="F353" s="9">
        <v>139.99</v>
      </c>
      <c r="G353" s="21">
        <v>139.99</v>
      </c>
      <c r="H353" s="7" t="s">
        <v>707</v>
      </c>
      <c r="I353" s="7" t="s">
        <v>680</v>
      </c>
      <c r="J353" s="7" t="s">
        <v>747</v>
      </c>
      <c r="K353" s="7"/>
    </row>
    <row r="354" spans="1:11" ht="20.100000000000001" customHeight="1" x14ac:dyDescent="0.25">
      <c r="A354" s="7" t="s">
        <v>963</v>
      </c>
      <c r="B354" s="20">
        <v>13815672</v>
      </c>
      <c r="C354" s="8">
        <v>29927596786</v>
      </c>
      <c r="D354" s="6" t="s">
        <v>1260</v>
      </c>
      <c r="E354" s="7">
        <v>2</v>
      </c>
      <c r="F354" s="9">
        <v>29.99</v>
      </c>
      <c r="G354" s="21">
        <v>59.98</v>
      </c>
      <c r="H354" s="7" t="s">
        <v>744</v>
      </c>
      <c r="I354" s="7" t="s">
        <v>674</v>
      </c>
      <c r="J354" s="7" t="s">
        <v>702</v>
      </c>
      <c r="K354" s="7"/>
    </row>
    <row r="355" spans="1:11" ht="20.100000000000001" customHeight="1" x14ac:dyDescent="0.25">
      <c r="A355" s="7" t="s">
        <v>963</v>
      </c>
      <c r="B355" s="20">
        <v>13815672</v>
      </c>
      <c r="C355" s="8">
        <v>848405022766</v>
      </c>
      <c r="D355" s="6" t="s">
        <v>1261</v>
      </c>
      <c r="E355" s="7">
        <v>2</v>
      </c>
      <c r="F355" s="9">
        <v>6.99</v>
      </c>
      <c r="G355" s="21">
        <v>13.98</v>
      </c>
      <c r="H355" s="7" t="s">
        <v>807</v>
      </c>
      <c r="I355" s="7" t="s">
        <v>752</v>
      </c>
      <c r="J355" s="7" t="s">
        <v>778</v>
      </c>
      <c r="K355" s="7"/>
    </row>
    <row r="356" spans="1:11" ht="20.100000000000001" customHeight="1" x14ac:dyDescent="0.25">
      <c r="A356" s="7" t="s">
        <v>963</v>
      </c>
      <c r="B356" s="20">
        <v>13815672</v>
      </c>
      <c r="C356" s="8">
        <v>633125813134</v>
      </c>
      <c r="D356" s="6" t="s">
        <v>1262</v>
      </c>
      <c r="E356" s="7">
        <v>1</v>
      </c>
      <c r="F356" s="9">
        <v>32.99</v>
      </c>
      <c r="G356" s="21">
        <v>32.99</v>
      </c>
      <c r="H356" s="7" t="s">
        <v>701</v>
      </c>
      <c r="I356" s="7" t="s">
        <v>682</v>
      </c>
      <c r="J356" s="7" t="s">
        <v>831</v>
      </c>
      <c r="K356" s="7"/>
    </row>
    <row r="357" spans="1:11" ht="20.100000000000001" customHeight="1" x14ac:dyDescent="0.25">
      <c r="A357" s="7" t="s">
        <v>963</v>
      </c>
      <c r="B357" s="20">
        <v>13815672</v>
      </c>
      <c r="C357" s="8">
        <v>81806614929</v>
      </c>
      <c r="D357" s="6" t="s">
        <v>1263</v>
      </c>
      <c r="E357" s="7">
        <v>1</v>
      </c>
      <c r="F357" s="9">
        <v>54.99</v>
      </c>
      <c r="G357" s="21">
        <v>54.99</v>
      </c>
      <c r="H357" s="7" t="s">
        <v>668</v>
      </c>
      <c r="I357" s="7" t="s">
        <v>669</v>
      </c>
      <c r="J357" s="7" t="s">
        <v>883</v>
      </c>
      <c r="K357" s="7"/>
    </row>
    <row r="358" spans="1:11" ht="20.100000000000001" customHeight="1" x14ac:dyDescent="0.25">
      <c r="A358" s="7" t="s">
        <v>963</v>
      </c>
      <c r="B358" s="20">
        <v>13815672</v>
      </c>
      <c r="C358" s="8">
        <v>194938002745</v>
      </c>
      <c r="D358" s="6" t="s">
        <v>1264</v>
      </c>
      <c r="E358" s="7">
        <v>1</v>
      </c>
      <c r="F358" s="9">
        <v>34.99</v>
      </c>
      <c r="G358" s="21">
        <v>34.99</v>
      </c>
      <c r="H358" s="7" t="s">
        <v>744</v>
      </c>
      <c r="I358" s="7" t="s">
        <v>674</v>
      </c>
      <c r="J358" s="7" t="s">
        <v>675</v>
      </c>
      <c r="K358" s="7"/>
    </row>
    <row r="359" spans="1:11" ht="20.100000000000001" customHeight="1" x14ac:dyDescent="0.25">
      <c r="A359" s="7" t="s">
        <v>963</v>
      </c>
      <c r="B359" s="20">
        <v>13815672</v>
      </c>
      <c r="C359" s="8">
        <v>733003878993</v>
      </c>
      <c r="D359" s="6" t="s">
        <v>1265</v>
      </c>
      <c r="E359" s="7">
        <v>1</v>
      </c>
      <c r="F359" s="9">
        <v>169.99</v>
      </c>
      <c r="G359" s="21">
        <v>169.99</v>
      </c>
      <c r="H359" s="7" t="s">
        <v>768</v>
      </c>
      <c r="I359" s="7" t="s">
        <v>1236</v>
      </c>
      <c r="J359" s="7" t="s">
        <v>147</v>
      </c>
      <c r="K359" s="7"/>
    </row>
    <row r="360" spans="1:11" ht="20.100000000000001" customHeight="1" x14ac:dyDescent="0.25">
      <c r="A360" s="7" t="s">
        <v>963</v>
      </c>
      <c r="B360" s="20">
        <v>13815672</v>
      </c>
      <c r="C360" s="8">
        <v>815489026577</v>
      </c>
      <c r="D360" s="6" t="s">
        <v>1266</v>
      </c>
      <c r="E360" s="7">
        <v>1</v>
      </c>
      <c r="F360" s="9">
        <v>119.99</v>
      </c>
      <c r="G360" s="21">
        <v>119.99</v>
      </c>
      <c r="H360" s="7"/>
      <c r="I360" s="7" t="s">
        <v>669</v>
      </c>
      <c r="J360" s="7" t="s">
        <v>152</v>
      </c>
      <c r="K360" s="7"/>
    </row>
    <row r="361" spans="1:11" ht="20.100000000000001" customHeight="1" x14ac:dyDescent="0.25">
      <c r="A361" s="7" t="s">
        <v>963</v>
      </c>
      <c r="B361" s="20">
        <v>13815672</v>
      </c>
      <c r="C361" s="8">
        <v>735732828003</v>
      </c>
      <c r="D361" s="6" t="s">
        <v>1267</v>
      </c>
      <c r="E361" s="7">
        <v>1</v>
      </c>
      <c r="F361" s="9">
        <v>9.99</v>
      </c>
      <c r="G361" s="21">
        <v>9.99</v>
      </c>
      <c r="H361" s="7" t="s">
        <v>676</v>
      </c>
      <c r="I361" s="7" t="s">
        <v>674</v>
      </c>
      <c r="J361" s="7" t="s">
        <v>925</v>
      </c>
      <c r="K361" s="7"/>
    </row>
    <row r="362" spans="1:11" ht="20.100000000000001" customHeight="1" x14ac:dyDescent="0.25">
      <c r="A362" s="7" t="s">
        <v>963</v>
      </c>
      <c r="B362" s="20">
        <v>13815672</v>
      </c>
      <c r="C362" s="8">
        <v>29927587616</v>
      </c>
      <c r="D362" s="6" t="s">
        <v>1268</v>
      </c>
      <c r="E362" s="7">
        <v>1</v>
      </c>
      <c r="F362" s="9">
        <v>12.99</v>
      </c>
      <c r="G362" s="21">
        <v>12.99</v>
      </c>
      <c r="H362" s="7" t="s">
        <v>711</v>
      </c>
      <c r="I362" s="7" t="s">
        <v>674</v>
      </c>
      <c r="J362" s="7" t="s">
        <v>702</v>
      </c>
      <c r="K362" s="7"/>
    </row>
    <row r="363" spans="1:11" ht="20.100000000000001" customHeight="1" x14ac:dyDescent="0.25">
      <c r="A363" s="7" t="s">
        <v>963</v>
      </c>
      <c r="B363" s="20">
        <v>13815672</v>
      </c>
      <c r="C363" s="8">
        <v>733003557829</v>
      </c>
      <c r="D363" s="6" t="s">
        <v>1269</v>
      </c>
      <c r="E363" s="7">
        <v>1</v>
      </c>
      <c r="F363" s="9">
        <v>64.989999999999995</v>
      </c>
      <c r="G363" s="21">
        <v>64.989999999999995</v>
      </c>
      <c r="H363" s="7" t="s">
        <v>807</v>
      </c>
      <c r="I363" s="7" t="s">
        <v>904</v>
      </c>
      <c r="J363" s="7" t="s">
        <v>153</v>
      </c>
      <c r="K363" s="7"/>
    </row>
    <row r="364" spans="1:11" ht="20.100000000000001" customHeight="1" x14ac:dyDescent="0.25">
      <c r="A364" s="7" t="s">
        <v>963</v>
      </c>
      <c r="B364" s="20">
        <v>13815672</v>
      </c>
      <c r="C364" s="8">
        <v>86569716040</v>
      </c>
      <c r="D364" s="6" t="s">
        <v>1270</v>
      </c>
      <c r="E364" s="7">
        <v>1</v>
      </c>
      <c r="F364" s="9">
        <v>109.99</v>
      </c>
      <c r="G364" s="21">
        <v>109.99</v>
      </c>
      <c r="H364" s="7" t="s">
        <v>708</v>
      </c>
      <c r="I364" s="7" t="s">
        <v>672</v>
      </c>
      <c r="J364" s="7" t="s">
        <v>679</v>
      </c>
      <c r="K364" s="7"/>
    </row>
    <row r="365" spans="1:11" ht="20.100000000000001" customHeight="1" x14ac:dyDescent="0.25">
      <c r="A365" s="7" t="s">
        <v>963</v>
      </c>
      <c r="B365" s="20">
        <v>13815672</v>
      </c>
      <c r="C365" s="8">
        <v>191790054073</v>
      </c>
      <c r="D365" s="6" t="s">
        <v>1271</v>
      </c>
      <c r="E365" s="7">
        <v>2</v>
      </c>
      <c r="F365" s="9">
        <v>49.99</v>
      </c>
      <c r="G365" s="21">
        <v>99.98</v>
      </c>
      <c r="H365" s="7" t="s">
        <v>668</v>
      </c>
      <c r="I365" s="7" t="s">
        <v>666</v>
      </c>
      <c r="J365" s="7" t="s">
        <v>706</v>
      </c>
      <c r="K365" s="7"/>
    </row>
    <row r="366" spans="1:11" ht="20.100000000000001" customHeight="1" x14ac:dyDescent="0.25">
      <c r="A366" s="7" t="s">
        <v>963</v>
      </c>
      <c r="B366" s="20">
        <v>13815672</v>
      </c>
      <c r="C366" s="8">
        <v>191790054073</v>
      </c>
      <c r="D366" s="6" t="s">
        <v>1271</v>
      </c>
      <c r="E366" s="7">
        <v>1</v>
      </c>
      <c r="F366" s="9">
        <v>49.99</v>
      </c>
      <c r="G366" s="21">
        <v>49.99</v>
      </c>
      <c r="H366" s="7" t="s">
        <v>668</v>
      </c>
      <c r="I366" s="7" t="s">
        <v>666</v>
      </c>
      <c r="J366" s="7" t="s">
        <v>706</v>
      </c>
      <c r="K366" s="7"/>
    </row>
    <row r="367" spans="1:11" ht="20.100000000000001" customHeight="1" x14ac:dyDescent="0.25">
      <c r="A367" s="7" t="s">
        <v>963</v>
      </c>
      <c r="B367" s="20">
        <v>13815672</v>
      </c>
      <c r="C367" s="8">
        <v>190945117373</v>
      </c>
      <c r="D367" s="6" t="s">
        <v>1272</v>
      </c>
      <c r="E367" s="7">
        <v>1</v>
      </c>
      <c r="F367" s="9">
        <v>129.99</v>
      </c>
      <c r="G367" s="21">
        <v>129.99</v>
      </c>
      <c r="H367" s="7" t="s">
        <v>784</v>
      </c>
      <c r="I367" s="7" t="s">
        <v>674</v>
      </c>
      <c r="J367" s="7" t="s">
        <v>750</v>
      </c>
      <c r="K367" s="7"/>
    </row>
    <row r="368" spans="1:11" ht="20.100000000000001" customHeight="1" x14ac:dyDescent="0.25">
      <c r="A368" s="7" t="s">
        <v>963</v>
      </c>
      <c r="B368" s="20">
        <v>13815672</v>
      </c>
      <c r="C368" s="8">
        <v>893977002180</v>
      </c>
      <c r="D368" s="6" t="s">
        <v>1273</v>
      </c>
      <c r="E368" s="7">
        <v>1</v>
      </c>
      <c r="F368" s="9">
        <v>37.99</v>
      </c>
      <c r="G368" s="21">
        <v>37.99</v>
      </c>
      <c r="H368" s="7" t="s">
        <v>668</v>
      </c>
      <c r="I368" s="7" t="s">
        <v>669</v>
      </c>
      <c r="J368" s="7" t="s">
        <v>849</v>
      </c>
      <c r="K368" s="7"/>
    </row>
    <row r="369" spans="1:11" ht="20.100000000000001" customHeight="1" x14ac:dyDescent="0.25">
      <c r="A369" s="7" t="s">
        <v>963</v>
      </c>
      <c r="B369" s="20">
        <v>13815672</v>
      </c>
      <c r="C369" s="8">
        <v>883893699915</v>
      </c>
      <c r="D369" s="6" t="s">
        <v>1274</v>
      </c>
      <c r="E369" s="7">
        <v>1</v>
      </c>
      <c r="F369" s="9">
        <v>34.99</v>
      </c>
      <c r="G369" s="21">
        <v>34.99</v>
      </c>
      <c r="H369" s="7" t="s">
        <v>958</v>
      </c>
      <c r="I369" s="7" t="s">
        <v>682</v>
      </c>
      <c r="J369" s="7" t="s">
        <v>154</v>
      </c>
      <c r="K369" s="7"/>
    </row>
    <row r="370" spans="1:11" ht="20.100000000000001" customHeight="1" x14ac:dyDescent="0.25">
      <c r="A370" s="7" t="s">
        <v>963</v>
      </c>
      <c r="B370" s="20">
        <v>13815672</v>
      </c>
      <c r="C370" s="8">
        <v>191790054233</v>
      </c>
      <c r="D370" s="6" t="s">
        <v>1275</v>
      </c>
      <c r="E370" s="7">
        <v>1</v>
      </c>
      <c r="F370" s="9">
        <v>49.99</v>
      </c>
      <c r="G370" s="21">
        <v>49.99</v>
      </c>
      <c r="H370" s="7" t="s">
        <v>732</v>
      </c>
      <c r="I370" s="7" t="s">
        <v>666</v>
      </c>
      <c r="J370" s="7" t="s">
        <v>706</v>
      </c>
      <c r="K370" s="7"/>
    </row>
    <row r="371" spans="1:11" ht="20.100000000000001" customHeight="1" x14ac:dyDescent="0.25">
      <c r="A371" s="7" t="s">
        <v>963</v>
      </c>
      <c r="B371" s="20">
        <v>13815672</v>
      </c>
      <c r="C371" s="8">
        <v>191790054233</v>
      </c>
      <c r="D371" s="6" t="s">
        <v>1275</v>
      </c>
      <c r="E371" s="7">
        <v>1</v>
      </c>
      <c r="F371" s="9">
        <v>49.99</v>
      </c>
      <c r="G371" s="21">
        <v>49.99</v>
      </c>
      <c r="H371" s="7" t="s">
        <v>732</v>
      </c>
      <c r="I371" s="7" t="s">
        <v>666</v>
      </c>
      <c r="J371" s="7" t="s">
        <v>706</v>
      </c>
      <c r="K371" s="7"/>
    </row>
    <row r="372" spans="1:11" ht="20.100000000000001" customHeight="1" x14ac:dyDescent="0.25">
      <c r="A372" s="7" t="s">
        <v>963</v>
      </c>
      <c r="B372" s="20">
        <v>13815672</v>
      </c>
      <c r="C372" s="8">
        <v>651896660252</v>
      </c>
      <c r="D372" s="6" t="s">
        <v>1276</v>
      </c>
      <c r="E372" s="7">
        <v>2</v>
      </c>
      <c r="F372" s="9">
        <v>24.99</v>
      </c>
      <c r="G372" s="21">
        <v>49.98</v>
      </c>
      <c r="H372" s="7" t="s">
        <v>717</v>
      </c>
      <c r="I372" s="7" t="s">
        <v>674</v>
      </c>
      <c r="J372" s="7" t="s">
        <v>927</v>
      </c>
      <c r="K372" s="7"/>
    </row>
    <row r="373" spans="1:11" ht="20.100000000000001" customHeight="1" x14ac:dyDescent="0.25">
      <c r="A373" s="7" t="s">
        <v>963</v>
      </c>
      <c r="B373" s="20">
        <v>13815672</v>
      </c>
      <c r="C373" s="8">
        <v>783048171306</v>
      </c>
      <c r="D373" s="6" t="s">
        <v>1277</v>
      </c>
      <c r="E373" s="7">
        <v>1</v>
      </c>
      <c r="F373" s="9">
        <v>49.99</v>
      </c>
      <c r="G373" s="21">
        <v>49.99</v>
      </c>
      <c r="H373" s="7"/>
      <c r="I373" s="7" t="s">
        <v>672</v>
      </c>
      <c r="J373" s="7" t="s">
        <v>739</v>
      </c>
      <c r="K373" s="7"/>
    </row>
    <row r="374" spans="1:11" ht="20.100000000000001" customHeight="1" x14ac:dyDescent="0.25">
      <c r="A374" s="7" t="s">
        <v>963</v>
      </c>
      <c r="B374" s="20">
        <v>13815672</v>
      </c>
      <c r="C374" s="8">
        <v>733003941635</v>
      </c>
      <c r="D374" s="6" t="s">
        <v>1278</v>
      </c>
      <c r="E374" s="7">
        <v>1</v>
      </c>
      <c r="F374" s="9">
        <v>44.99</v>
      </c>
      <c r="G374" s="21">
        <v>44.99</v>
      </c>
      <c r="H374" s="7" t="s">
        <v>671</v>
      </c>
      <c r="I374" s="7" t="s">
        <v>808</v>
      </c>
      <c r="J374" s="7" t="s">
        <v>809</v>
      </c>
      <c r="K374" s="7"/>
    </row>
    <row r="375" spans="1:11" ht="20.100000000000001" customHeight="1" x14ac:dyDescent="0.25">
      <c r="A375" s="7" t="s">
        <v>963</v>
      </c>
      <c r="B375" s="20">
        <v>13815672</v>
      </c>
      <c r="C375" s="8">
        <v>86569368300</v>
      </c>
      <c r="D375" s="6" t="s">
        <v>1279</v>
      </c>
      <c r="E375" s="7">
        <v>2</v>
      </c>
      <c r="F375" s="9">
        <v>39.99</v>
      </c>
      <c r="G375" s="21">
        <v>79.98</v>
      </c>
      <c r="H375" s="7" t="s">
        <v>677</v>
      </c>
      <c r="I375" s="7" t="s">
        <v>674</v>
      </c>
      <c r="J375" s="7" t="s">
        <v>679</v>
      </c>
      <c r="K375" s="7"/>
    </row>
    <row r="376" spans="1:11" ht="20.100000000000001" customHeight="1" x14ac:dyDescent="0.25">
      <c r="A376" s="7" t="s">
        <v>963</v>
      </c>
      <c r="B376" s="20">
        <v>13815672</v>
      </c>
      <c r="C376" s="8">
        <v>883893739727</v>
      </c>
      <c r="D376" s="6" t="s">
        <v>1280</v>
      </c>
      <c r="E376" s="7">
        <v>1</v>
      </c>
      <c r="F376" s="9">
        <v>179.99</v>
      </c>
      <c r="G376" s="21">
        <v>179.99</v>
      </c>
      <c r="H376" s="7" t="s">
        <v>668</v>
      </c>
      <c r="I376" s="7" t="s">
        <v>719</v>
      </c>
      <c r="J376" s="7" t="s">
        <v>155</v>
      </c>
      <c r="K376" s="7"/>
    </row>
    <row r="377" spans="1:11" ht="20.100000000000001" customHeight="1" x14ac:dyDescent="0.25">
      <c r="A377" s="7" t="s">
        <v>963</v>
      </c>
      <c r="B377" s="20">
        <v>13815672</v>
      </c>
      <c r="C377" s="8">
        <v>88377025208</v>
      </c>
      <c r="D377" s="6" t="s">
        <v>1281</v>
      </c>
      <c r="E377" s="7">
        <v>1</v>
      </c>
      <c r="F377" s="9">
        <v>29.99</v>
      </c>
      <c r="G377" s="21">
        <v>29.99</v>
      </c>
      <c r="H377" s="7" t="s">
        <v>677</v>
      </c>
      <c r="I377" s="7" t="s">
        <v>669</v>
      </c>
      <c r="J377" s="7" t="s">
        <v>156</v>
      </c>
      <c r="K377" s="7"/>
    </row>
    <row r="378" spans="1:11" ht="20.100000000000001" customHeight="1" x14ac:dyDescent="0.25">
      <c r="A378" s="7" t="s">
        <v>963</v>
      </c>
      <c r="B378" s="20">
        <v>13815672</v>
      </c>
      <c r="C378" s="8">
        <v>733003023560</v>
      </c>
      <c r="D378" s="6" t="s">
        <v>1282</v>
      </c>
      <c r="E378" s="7">
        <v>1</v>
      </c>
      <c r="F378" s="9">
        <v>89.99</v>
      </c>
      <c r="G378" s="21">
        <v>89.99</v>
      </c>
      <c r="H378" s="7" t="s">
        <v>704</v>
      </c>
      <c r="I378" s="7" t="s">
        <v>680</v>
      </c>
      <c r="J378" s="7" t="s">
        <v>733</v>
      </c>
      <c r="K378" s="7"/>
    </row>
    <row r="379" spans="1:11" ht="20.100000000000001" customHeight="1" x14ac:dyDescent="0.25">
      <c r="A379" s="7" t="s">
        <v>963</v>
      </c>
      <c r="B379" s="20">
        <v>13815672</v>
      </c>
      <c r="C379" s="8">
        <v>91116737393</v>
      </c>
      <c r="D379" s="6" t="s">
        <v>1283</v>
      </c>
      <c r="E379" s="7">
        <v>1</v>
      </c>
      <c r="F379" s="9">
        <v>8.99</v>
      </c>
      <c r="G379" s="21">
        <v>8.99</v>
      </c>
      <c r="H379" s="7" t="s">
        <v>668</v>
      </c>
      <c r="I379" s="7" t="s">
        <v>666</v>
      </c>
      <c r="J379" s="7" t="s">
        <v>929</v>
      </c>
      <c r="K379" s="7"/>
    </row>
    <row r="380" spans="1:11" ht="20.100000000000001" customHeight="1" x14ac:dyDescent="0.25">
      <c r="A380" s="7" t="s">
        <v>963</v>
      </c>
      <c r="B380" s="20">
        <v>13815672</v>
      </c>
      <c r="C380" s="8">
        <v>735732639616</v>
      </c>
      <c r="D380" s="6" t="s">
        <v>1284</v>
      </c>
      <c r="E380" s="7">
        <v>1</v>
      </c>
      <c r="F380" s="9">
        <v>9.99</v>
      </c>
      <c r="G380" s="21">
        <v>9.99</v>
      </c>
      <c r="H380" s="7" t="s">
        <v>677</v>
      </c>
      <c r="I380" s="7" t="s">
        <v>674</v>
      </c>
      <c r="J380" s="7" t="s">
        <v>157</v>
      </c>
      <c r="K380" s="7"/>
    </row>
    <row r="381" spans="1:11" ht="20.100000000000001" customHeight="1" x14ac:dyDescent="0.25">
      <c r="A381" s="7" t="s">
        <v>963</v>
      </c>
      <c r="B381" s="20">
        <v>13815672</v>
      </c>
      <c r="C381" s="8">
        <v>194169008219</v>
      </c>
      <c r="D381" s="6" t="s">
        <v>1285</v>
      </c>
      <c r="E381" s="7">
        <v>1</v>
      </c>
      <c r="F381" s="9">
        <v>19.989999999999998</v>
      </c>
      <c r="G381" s="21">
        <v>19.989999999999998</v>
      </c>
      <c r="H381" s="7" t="s">
        <v>744</v>
      </c>
      <c r="I381" s="7" t="s">
        <v>674</v>
      </c>
      <c r="J381" s="7" t="s">
        <v>939</v>
      </c>
      <c r="K381" s="7"/>
    </row>
    <row r="382" spans="1:11" ht="20.100000000000001" customHeight="1" x14ac:dyDescent="0.25">
      <c r="A382" s="7" t="s">
        <v>963</v>
      </c>
      <c r="B382" s="20">
        <v>13815672</v>
      </c>
      <c r="C382" s="8">
        <v>190714458591</v>
      </c>
      <c r="D382" s="6" t="s">
        <v>1286</v>
      </c>
      <c r="E382" s="7">
        <v>3</v>
      </c>
      <c r="F382" s="9">
        <v>24.99</v>
      </c>
      <c r="G382" s="21">
        <v>74.97</v>
      </c>
      <c r="H382" s="7" t="s">
        <v>676</v>
      </c>
      <c r="I382" s="7" t="s">
        <v>674</v>
      </c>
      <c r="J382" s="7" t="s">
        <v>896</v>
      </c>
      <c r="K382" s="7"/>
    </row>
    <row r="383" spans="1:11" ht="20.100000000000001" customHeight="1" x14ac:dyDescent="0.25">
      <c r="A383" s="7" t="s">
        <v>963</v>
      </c>
      <c r="B383" s="20">
        <v>13815672</v>
      </c>
      <c r="C383" s="8">
        <v>733003225193</v>
      </c>
      <c r="D383" s="6" t="s">
        <v>1287</v>
      </c>
      <c r="E383" s="7">
        <v>1</v>
      </c>
      <c r="F383" s="9">
        <v>199.99</v>
      </c>
      <c r="G383" s="21">
        <v>199.99</v>
      </c>
      <c r="H383" s="7" t="s">
        <v>768</v>
      </c>
      <c r="I383" s="7" t="s">
        <v>680</v>
      </c>
      <c r="J383" s="7" t="s">
        <v>733</v>
      </c>
      <c r="K383" s="7"/>
    </row>
    <row r="384" spans="1:11" ht="20.100000000000001" customHeight="1" x14ac:dyDescent="0.25">
      <c r="A384" s="7" t="s">
        <v>963</v>
      </c>
      <c r="B384" s="20">
        <v>13815672</v>
      </c>
      <c r="C384" s="8">
        <v>191790054493</v>
      </c>
      <c r="D384" s="6" t="s">
        <v>1288</v>
      </c>
      <c r="E384" s="7">
        <v>1</v>
      </c>
      <c r="F384" s="9">
        <v>54.99</v>
      </c>
      <c r="G384" s="21">
        <v>54.99</v>
      </c>
      <c r="H384" s="7" t="s">
        <v>698</v>
      </c>
      <c r="I384" s="7" t="s">
        <v>666</v>
      </c>
      <c r="J384" s="7" t="s">
        <v>706</v>
      </c>
      <c r="K384" s="7"/>
    </row>
    <row r="385" spans="1:11" ht="20.100000000000001" customHeight="1" x14ac:dyDescent="0.25">
      <c r="A385" s="7" t="s">
        <v>963</v>
      </c>
      <c r="B385" s="20">
        <v>13815672</v>
      </c>
      <c r="C385" s="8">
        <v>734737679177</v>
      </c>
      <c r="D385" s="6" t="s">
        <v>1289</v>
      </c>
      <c r="E385" s="7">
        <v>1</v>
      </c>
      <c r="F385" s="9">
        <v>17.989999999999998</v>
      </c>
      <c r="G385" s="21">
        <v>17.989999999999998</v>
      </c>
      <c r="H385" s="7" t="s">
        <v>999</v>
      </c>
      <c r="I385" s="7" t="s">
        <v>752</v>
      </c>
      <c r="J385" s="7" t="s">
        <v>840</v>
      </c>
      <c r="K385" s="7"/>
    </row>
    <row r="386" spans="1:11" ht="20.100000000000001" customHeight="1" x14ac:dyDescent="0.25">
      <c r="A386" s="7" t="s">
        <v>963</v>
      </c>
      <c r="B386" s="20">
        <v>13815672</v>
      </c>
      <c r="C386" s="8">
        <v>840970170347</v>
      </c>
      <c r="D386" s="6" t="s">
        <v>1290</v>
      </c>
      <c r="E386" s="7">
        <v>1</v>
      </c>
      <c r="F386" s="9">
        <v>97.99</v>
      </c>
      <c r="G386" s="21">
        <v>97.99</v>
      </c>
      <c r="H386" s="7" t="s">
        <v>711</v>
      </c>
      <c r="I386" s="7" t="s">
        <v>672</v>
      </c>
      <c r="J386" s="7" t="s">
        <v>726</v>
      </c>
      <c r="K386" s="7"/>
    </row>
    <row r="387" spans="1:11" ht="20.100000000000001" customHeight="1" x14ac:dyDescent="0.25">
      <c r="A387" s="7" t="s">
        <v>963</v>
      </c>
      <c r="B387" s="20">
        <v>13815672</v>
      </c>
      <c r="C387" s="8">
        <v>679610838022</v>
      </c>
      <c r="D387" s="6" t="s">
        <v>1291</v>
      </c>
      <c r="E387" s="7">
        <v>1</v>
      </c>
      <c r="F387" s="9">
        <v>29.99</v>
      </c>
      <c r="G387" s="21">
        <v>29.99</v>
      </c>
      <c r="H387" s="7" t="s">
        <v>676</v>
      </c>
      <c r="I387" s="7" t="s">
        <v>672</v>
      </c>
      <c r="J387" s="7" t="s">
        <v>774</v>
      </c>
      <c r="K387" s="7"/>
    </row>
    <row r="388" spans="1:11" ht="20.100000000000001" customHeight="1" x14ac:dyDescent="0.25">
      <c r="A388" s="7" t="s">
        <v>963</v>
      </c>
      <c r="B388" s="20">
        <v>13815672</v>
      </c>
      <c r="C388" s="8">
        <v>195425043715</v>
      </c>
      <c r="D388" s="6" t="s">
        <v>1292</v>
      </c>
      <c r="E388" s="7">
        <v>1</v>
      </c>
      <c r="F388" s="9">
        <v>99.99</v>
      </c>
      <c r="G388" s="21">
        <v>99.99</v>
      </c>
      <c r="H388" s="7" t="s">
        <v>668</v>
      </c>
      <c r="I388" s="7" t="s">
        <v>669</v>
      </c>
      <c r="J388" s="7" t="s">
        <v>802</v>
      </c>
      <c r="K388" s="7"/>
    </row>
    <row r="389" spans="1:11" ht="20.100000000000001" customHeight="1" x14ac:dyDescent="0.25">
      <c r="A389" s="7" t="s">
        <v>963</v>
      </c>
      <c r="B389" s="20">
        <v>13815672</v>
      </c>
      <c r="C389" s="8">
        <v>86569728616</v>
      </c>
      <c r="D389" s="6" t="s">
        <v>1293</v>
      </c>
      <c r="E389" s="7">
        <v>1</v>
      </c>
      <c r="F389" s="9">
        <v>99.99</v>
      </c>
      <c r="G389" s="21">
        <v>99.99</v>
      </c>
      <c r="H389" s="7"/>
      <c r="I389" s="7" t="s">
        <v>1294</v>
      </c>
      <c r="J389" s="7" t="s">
        <v>815</v>
      </c>
      <c r="K389" s="7"/>
    </row>
    <row r="390" spans="1:11" ht="20.100000000000001" customHeight="1" x14ac:dyDescent="0.25">
      <c r="A390" s="7" t="s">
        <v>963</v>
      </c>
      <c r="B390" s="20">
        <v>13815672</v>
      </c>
      <c r="C390" s="8">
        <v>191790053595</v>
      </c>
      <c r="D390" s="6" t="s">
        <v>1295</v>
      </c>
      <c r="E390" s="7">
        <v>1</v>
      </c>
      <c r="F390" s="9">
        <v>39.99</v>
      </c>
      <c r="G390" s="21">
        <v>39.99</v>
      </c>
      <c r="H390" s="7" t="s">
        <v>668</v>
      </c>
      <c r="I390" s="7" t="s">
        <v>666</v>
      </c>
      <c r="J390" s="7" t="s">
        <v>706</v>
      </c>
      <c r="K390" s="7"/>
    </row>
    <row r="391" spans="1:11" ht="20.100000000000001" customHeight="1" x14ac:dyDescent="0.25">
      <c r="A391" s="7" t="s">
        <v>963</v>
      </c>
      <c r="B391" s="20">
        <v>13815672</v>
      </c>
      <c r="C391" s="8">
        <v>733003895587</v>
      </c>
      <c r="D391" s="6" t="s">
        <v>1296</v>
      </c>
      <c r="E391" s="7">
        <v>1</v>
      </c>
      <c r="F391" s="9">
        <v>139.99</v>
      </c>
      <c r="G391" s="21">
        <v>139.99</v>
      </c>
      <c r="H391" s="7" t="s">
        <v>784</v>
      </c>
      <c r="I391" s="7" t="s">
        <v>1236</v>
      </c>
      <c r="J391" s="7" t="s">
        <v>147</v>
      </c>
      <c r="K391" s="7"/>
    </row>
    <row r="392" spans="1:11" ht="20.100000000000001" customHeight="1" x14ac:dyDescent="0.25">
      <c r="A392" s="7" t="s">
        <v>963</v>
      </c>
      <c r="B392" s="20">
        <v>13815672</v>
      </c>
      <c r="C392" s="8">
        <v>679610838213</v>
      </c>
      <c r="D392" s="6" t="s">
        <v>1297</v>
      </c>
      <c r="E392" s="7">
        <v>1</v>
      </c>
      <c r="F392" s="9">
        <v>179.99</v>
      </c>
      <c r="G392" s="21">
        <v>179.99</v>
      </c>
      <c r="H392" s="7" t="s">
        <v>677</v>
      </c>
      <c r="I392" s="7" t="s">
        <v>672</v>
      </c>
      <c r="J392" s="7" t="s">
        <v>774</v>
      </c>
      <c r="K392" s="7"/>
    </row>
    <row r="393" spans="1:11" ht="20.100000000000001" customHeight="1" x14ac:dyDescent="0.25">
      <c r="A393" s="7" t="s">
        <v>963</v>
      </c>
      <c r="B393" s="20">
        <v>13815672</v>
      </c>
      <c r="C393" s="8">
        <v>733002798421</v>
      </c>
      <c r="D393" s="6" t="s">
        <v>1298</v>
      </c>
      <c r="E393" s="7">
        <v>1</v>
      </c>
      <c r="F393" s="9">
        <v>99.99</v>
      </c>
      <c r="G393" s="21">
        <v>99.99</v>
      </c>
      <c r="H393" s="7" t="s">
        <v>676</v>
      </c>
      <c r="I393" s="7" t="s">
        <v>808</v>
      </c>
      <c r="J393" s="7" t="s">
        <v>809</v>
      </c>
      <c r="K393" s="7"/>
    </row>
    <row r="394" spans="1:11" ht="20.100000000000001" customHeight="1" x14ac:dyDescent="0.25">
      <c r="A394" s="7" t="s">
        <v>963</v>
      </c>
      <c r="B394" s="20">
        <v>13815672</v>
      </c>
      <c r="C394" s="8">
        <v>751516681619</v>
      </c>
      <c r="D394" s="6" t="s">
        <v>1299</v>
      </c>
      <c r="E394" s="7">
        <v>1</v>
      </c>
      <c r="F394" s="9">
        <v>142.99</v>
      </c>
      <c r="G394" s="21">
        <v>142.99</v>
      </c>
      <c r="H394" s="7" t="s">
        <v>671</v>
      </c>
      <c r="I394" s="7" t="s">
        <v>689</v>
      </c>
      <c r="J394" s="7" t="s">
        <v>820</v>
      </c>
      <c r="K394" s="7"/>
    </row>
    <row r="395" spans="1:11" ht="20.100000000000001" customHeight="1" x14ac:dyDescent="0.25">
      <c r="A395" s="7" t="s">
        <v>963</v>
      </c>
      <c r="B395" s="20">
        <v>13815672</v>
      </c>
      <c r="C395" s="8">
        <v>734737686342</v>
      </c>
      <c r="D395" s="6" t="s">
        <v>1300</v>
      </c>
      <c r="E395" s="7">
        <v>2</v>
      </c>
      <c r="F395" s="9">
        <v>49.99</v>
      </c>
      <c r="G395" s="21">
        <v>99.98</v>
      </c>
      <c r="H395" s="7" t="s">
        <v>704</v>
      </c>
      <c r="I395" s="7" t="s">
        <v>672</v>
      </c>
      <c r="J395" s="7" t="s">
        <v>696</v>
      </c>
      <c r="K395" s="7"/>
    </row>
    <row r="396" spans="1:11" ht="20.100000000000001" customHeight="1" x14ac:dyDescent="0.25">
      <c r="A396" s="7" t="s">
        <v>963</v>
      </c>
      <c r="B396" s="20">
        <v>13815672</v>
      </c>
      <c r="C396" s="8">
        <v>32281186067</v>
      </c>
      <c r="D396" s="6" t="s">
        <v>1301</v>
      </c>
      <c r="E396" s="7">
        <v>1</v>
      </c>
      <c r="F396" s="9">
        <v>79.989999999999995</v>
      </c>
      <c r="G396" s="21">
        <v>79.989999999999995</v>
      </c>
      <c r="H396" s="7"/>
      <c r="I396" s="7" t="s">
        <v>1294</v>
      </c>
      <c r="J396" s="7" t="s">
        <v>898</v>
      </c>
      <c r="K396" s="7"/>
    </row>
    <row r="397" spans="1:11" ht="20.100000000000001" customHeight="1" x14ac:dyDescent="0.25">
      <c r="A397" s="7" t="s">
        <v>963</v>
      </c>
      <c r="B397" s="20">
        <v>13815672</v>
      </c>
      <c r="C397" s="8">
        <v>733003225209</v>
      </c>
      <c r="D397" s="6" t="s">
        <v>1302</v>
      </c>
      <c r="E397" s="7">
        <v>1</v>
      </c>
      <c r="F397" s="9">
        <v>249.99</v>
      </c>
      <c r="G397" s="21">
        <v>249.99</v>
      </c>
      <c r="H397" s="7" t="s">
        <v>768</v>
      </c>
      <c r="I397" s="7" t="s">
        <v>680</v>
      </c>
      <c r="J397" s="7" t="s">
        <v>733</v>
      </c>
      <c r="K397" s="7"/>
    </row>
    <row r="398" spans="1:11" ht="20.100000000000001" customHeight="1" x14ac:dyDescent="0.25">
      <c r="A398" s="7" t="s">
        <v>963</v>
      </c>
      <c r="B398" s="20">
        <v>13815672</v>
      </c>
      <c r="C398" s="8">
        <v>733003877835</v>
      </c>
      <c r="D398" s="6" t="s">
        <v>1303</v>
      </c>
      <c r="E398" s="7">
        <v>1</v>
      </c>
      <c r="F398" s="9">
        <v>99.99</v>
      </c>
      <c r="G398" s="21">
        <v>99.99</v>
      </c>
      <c r="H398" s="7" t="s">
        <v>676</v>
      </c>
      <c r="I398" s="7" t="s">
        <v>1236</v>
      </c>
      <c r="J398" s="7" t="s">
        <v>147</v>
      </c>
      <c r="K398" s="7"/>
    </row>
    <row r="399" spans="1:11" ht="20.100000000000001" customHeight="1" x14ac:dyDescent="0.25">
      <c r="A399" s="7" t="s">
        <v>963</v>
      </c>
      <c r="B399" s="20">
        <v>13815672</v>
      </c>
      <c r="C399" s="8">
        <v>733003878191</v>
      </c>
      <c r="D399" s="6" t="s">
        <v>1304</v>
      </c>
      <c r="E399" s="7">
        <v>5</v>
      </c>
      <c r="F399" s="9">
        <v>39.99</v>
      </c>
      <c r="G399" s="21">
        <v>199.95</v>
      </c>
      <c r="H399" s="7" t="s">
        <v>668</v>
      </c>
      <c r="I399" s="7" t="s">
        <v>1236</v>
      </c>
      <c r="J399" s="7" t="s">
        <v>147</v>
      </c>
      <c r="K399" s="7"/>
    </row>
    <row r="400" spans="1:11" ht="20.100000000000001" customHeight="1" x14ac:dyDescent="0.25">
      <c r="A400" s="7" t="s">
        <v>963</v>
      </c>
      <c r="B400" s="20">
        <v>13815672</v>
      </c>
      <c r="C400" s="8">
        <v>883893653245</v>
      </c>
      <c r="D400" s="6" t="s">
        <v>1305</v>
      </c>
      <c r="E400" s="7">
        <v>1</v>
      </c>
      <c r="F400" s="9">
        <v>249.99</v>
      </c>
      <c r="G400" s="21">
        <v>249.99</v>
      </c>
      <c r="H400" s="7" t="s">
        <v>878</v>
      </c>
      <c r="I400" s="7" t="s">
        <v>689</v>
      </c>
      <c r="J400" s="7" t="s">
        <v>861</v>
      </c>
      <c r="K400" s="7"/>
    </row>
    <row r="401" spans="1:11" ht="20.100000000000001" customHeight="1" x14ac:dyDescent="0.25">
      <c r="A401" s="7" t="s">
        <v>963</v>
      </c>
      <c r="B401" s="20">
        <v>13815672</v>
      </c>
      <c r="C401" s="8">
        <v>86569728562</v>
      </c>
      <c r="D401" s="6" t="s">
        <v>114</v>
      </c>
      <c r="E401" s="7">
        <v>1</v>
      </c>
      <c r="F401" s="9">
        <v>89.99</v>
      </c>
      <c r="G401" s="21">
        <v>89.99</v>
      </c>
      <c r="H401" s="7"/>
      <c r="I401" s="7" t="s">
        <v>1294</v>
      </c>
      <c r="J401" s="7" t="s">
        <v>815</v>
      </c>
      <c r="K401" s="7"/>
    </row>
    <row r="402" spans="1:11" ht="20.100000000000001" customHeight="1" x14ac:dyDescent="0.25">
      <c r="A402" s="7" t="s">
        <v>963</v>
      </c>
      <c r="B402" s="20">
        <v>13815672</v>
      </c>
      <c r="C402" s="8">
        <v>733003461096</v>
      </c>
      <c r="D402" s="6" t="s">
        <v>115</v>
      </c>
      <c r="E402" s="7">
        <v>1</v>
      </c>
      <c r="F402" s="9">
        <v>249.99</v>
      </c>
      <c r="G402" s="21">
        <v>249.99</v>
      </c>
      <c r="H402" s="7" t="s">
        <v>676</v>
      </c>
      <c r="I402" s="7" t="s">
        <v>680</v>
      </c>
      <c r="J402" s="7" t="s">
        <v>816</v>
      </c>
      <c r="K402" s="7"/>
    </row>
    <row r="403" spans="1:11" ht="20.100000000000001" customHeight="1" x14ac:dyDescent="0.25">
      <c r="A403" s="7" t="s">
        <v>963</v>
      </c>
      <c r="B403" s="20">
        <v>13815672</v>
      </c>
      <c r="C403" s="8">
        <v>86569716101</v>
      </c>
      <c r="D403" s="6" t="s">
        <v>116</v>
      </c>
      <c r="E403" s="7">
        <v>1</v>
      </c>
      <c r="F403" s="9">
        <v>129.99</v>
      </c>
      <c r="G403" s="21">
        <v>129.99</v>
      </c>
      <c r="H403" s="7" t="s">
        <v>707</v>
      </c>
      <c r="I403" s="7" t="s">
        <v>672</v>
      </c>
      <c r="J403" s="7" t="s">
        <v>679</v>
      </c>
      <c r="K403" s="7"/>
    </row>
    <row r="404" spans="1:11" ht="20.100000000000001" customHeight="1" x14ac:dyDescent="0.25">
      <c r="A404" s="7" t="s">
        <v>963</v>
      </c>
      <c r="B404" s="20">
        <v>13815672</v>
      </c>
      <c r="C404" s="8">
        <v>733003657314</v>
      </c>
      <c r="D404" s="6" t="s">
        <v>117</v>
      </c>
      <c r="E404" s="7">
        <v>1</v>
      </c>
      <c r="F404" s="9">
        <v>279.99</v>
      </c>
      <c r="G404" s="21">
        <v>279.99</v>
      </c>
      <c r="H404" s="7" t="s">
        <v>676</v>
      </c>
      <c r="I404" s="7" t="s">
        <v>680</v>
      </c>
      <c r="J404" s="7" t="s">
        <v>733</v>
      </c>
      <c r="K404" s="7"/>
    </row>
    <row r="405" spans="1:11" ht="20.100000000000001" customHeight="1" x14ac:dyDescent="0.25">
      <c r="A405" s="7" t="s">
        <v>963</v>
      </c>
      <c r="B405" s="20">
        <v>13815672</v>
      </c>
      <c r="C405" s="8">
        <v>29927569193</v>
      </c>
      <c r="D405" s="6" t="s">
        <v>118</v>
      </c>
      <c r="E405" s="7">
        <v>3</v>
      </c>
      <c r="F405" s="9">
        <v>30</v>
      </c>
      <c r="G405" s="21">
        <v>90</v>
      </c>
      <c r="H405" s="7" t="s">
        <v>676</v>
      </c>
      <c r="I405" s="7" t="s">
        <v>674</v>
      </c>
      <c r="J405" s="7" t="s">
        <v>702</v>
      </c>
      <c r="K405" s="7"/>
    </row>
    <row r="406" spans="1:11" ht="20.100000000000001" customHeight="1" x14ac:dyDescent="0.25">
      <c r="A406" s="7" t="s">
        <v>963</v>
      </c>
      <c r="B406" s="20">
        <v>13815672</v>
      </c>
      <c r="C406" s="8">
        <v>29927584912</v>
      </c>
      <c r="D406" s="6" t="s">
        <v>119</v>
      </c>
      <c r="E406" s="7">
        <v>2</v>
      </c>
      <c r="F406" s="9">
        <v>29.99</v>
      </c>
      <c r="G406" s="21">
        <v>59.98</v>
      </c>
      <c r="H406" s="7" t="s">
        <v>701</v>
      </c>
      <c r="I406" s="7" t="s">
        <v>674</v>
      </c>
      <c r="J406" s="7" t="s">
        <v>702</v>
      </c>
      <c r="K406" s="7"/>
    </row>
    <row r="407" spans="1:11" ht="20.100000000000001" customHeight="1" x14ac:dyDescent="0.25">
      <c r="A407" s="7" t="s">
        <v>963</v>
      </c>
      <c r="B407" s="20">
        <v>13815672</v>
      </c>
      <c r="C407" s="8">
        <v>733003878238</v>
      </c>
      <c r="D407" s="6" t="s">
        <v>120</v>
      </c>
      <c r="E407" s="7">
        <v>2</v>
      </c>
      <c r="F407" s="9">
        <v>139.99</v>
      </c>
      <c r="G407" s="21">
        <v>279.98</v>
      </c>
      <c r="H407" s="7" t="s">
        <v>768</v>
      </c>
      <c r="I407" s="7" t="s">
        <v>1236</v>
      </c>
      <c r="J407" s="7" t="s">
        <v>147</v>
      </c>
      <c r="K407" s="7"/>
    </row>
    <row r="408" spans="1:11" ht="20.100000000000001" customHeight="1" x14ac:dyDescent="0.25">
      <c r="A408" s="7" t="s">
        <v>963</v>
      </c>
      <c r="B408" s="20">
        <v>13815672</v>
      </c>
      <c r="C408" s="8">
        <v>733002823628</v>
      </c>
      <c r="D408" s="6" t="s">
        <v>121</v>
      </c>
      <c r="E408" s="7">
        <v>1</v>
      </c>
      <c r="F408" s="9">
        <v>41.99</v>
      </c>
      <c r="G408" s="21">
        <v>41.99</v>
      </c>
      <c r="H408" s="7" t="s">
        <v>698</v>
      </c>
      <c r="I408" s="7" t="s">
        <v>730</v>
      </c>
      <c r="J408" s="7" t="s">
        <v>760</v>
      </c>
      <c r="K408" s="7"/>
    </row>
    <row r="409" spans="1:11" ht="20.100000000000001" customHeight="1" x14ac:dyDescent="0.25">
      <c r="A409" s="7" t="s">
        <v>963</v>
      </c>
      <c r="B409" s="20">
        <v>13815672</v>
      </c>
      <c r="C409" s="8">
        <v>734737677425</v>
      </c>
      <c r="D409" s="6" t="s">
        <v>122</v>
      </c>
      <c r="E409" s="7">
        <v>3</v>
      </c>
      <c r="F409" s="9">
        <v>19.989999999999998</v>
      </c>
      <c r="G409" s="21">
        <v>59.97</v>
      </c>
      <c r="H409" s="7" t="s">
        <v>671</v>
      </c>
      <c r="I409" s="7" t="s">
        <v>682</v>
      </c>
      <c r="J409" s="7" t="s">
        <v>696</v>
      </c>
      <c r="K409" s="7"/>
    </row>
    <row r="410" spans="1:11" ht="20.100000000000001" customHeight="1" x14ac:dyDescent="0.25">
      <c r="A410" s="7" t="s">
        <v>963</v>
      </c>
      <c r="B410" s="20">
        <v>13815672</v>
      </c>
      <c r="C410" s="8">
        <v>733003475956</v>
      </c>
      <c r="D410" s="6" t="s">
        <v>123</v>
      </c>
      <c r="E410" s="7">
        <v>1</v>
      </c>
      <c r="F410" s="9">
        <v>29.99</v>
      </c>
      <c r="G410" s="21">
        <v>29.99</v>
      </c>
      <c r="H410" s="7" t="s">
        <v>668</v>
      </c>
      <c r="I410" s="7" t="s">
        <v>904</v>
      </c>
      <c r="J410" s="7" t="s">
        <v>871</v>
      </c>
      <c r="K410" s="7"/>
    </row>
    <row r="411" spans="1:11" ht="20.100000000000001" customHeight="1" x14ac:dyDescent="0.25">
      <c r="A411" s="7" t="s">
        <v>963</v>
      </c>
      <c r="B411" s="20">
        <v>13815672</v>
      </c>
      <c r="C411" s="8">
        <v>193842117323</v>
      </c>
      <c r="D411" s="6" t="s">
        <v>124</v>
      </c>
      <c r="E411" s="7">
        <v>1</v>
      </c>
      <c r="F411" s="9">
        <v>59.99</v>
      </c>
      <c r="G411" s="21">
        <v>59.99</v>
      </c>
      <c r="H411" s="7" t="s">
        <v>691</v>
      </c>
      <c r="I411" s="7" t="s">
        <v>689</v>
      </c>
      <c r="J411" s="7" t="s">
        <v>690</v>
      </c>
      <c r="K411" s="7"/>
    </row>
    <row r="412" spans="1:11" ht="20.100000000000001" customHeight="1" x14ac:dyDescent="0.25">
      <c r="A412" s="7" t="s">
        <v>963</v>
      </c>
      <c r="B412" s="20">
        <v>13815672</v>
      </c>
      <c r="C412" s="8">
        <v>191790054271</v>
      </c>
      <c r="D412" s="6" t="s">
        <v>125</v>
      </c>
      <c r="E412" s="7">
        <v>1</v>
      </c>
      <c r="F412" s="9">
        <v>49.99</v>
      </c>
      <c r="G412" s="21">
        <v>49.99</v>
      </c>
      <c r="H412" s="7" t="s">
        <v>717</v>
      </c>
      <c r="I412" s="7" t="s">
        <v>666</v>
      </c>
      <c r="J412" s="7" t="s">
        <v>706</v>
      </c>
      <c r="K412" s="7"/>
    </row>
    <row r="413" spans="1:11" ht="20.100000000000001" customHeight="1" x14ac:dyDescent="0.25">
      <c r="A413" s="7" t="s">
        <v>963</v>
      </c>
      <c r="B413" s="20">
        <v>13815672</v>
      </c>
      <c r="C413" s="8">
        <v>46249704392</v>
      </c>
      <c r="D413" s="6" t="s">
        <v>126</v>
      </c>
      <c r="E413" s="7">
        <v>1</v>
      </c>
      <c r="F413" s="9">
        <v>59.99</v>
      </c>
      <c r="G413" s="21">
        <v>59.99</v>
      </c>
      <c r="H413" s="7" t="s">
        <v>676</v>
      </c>
      <c r="I413" s="7" t="s">
        <v>723</v>
      </c>
      <c r="J413" s="7" t="s">
        <v>792</v>
      </c>
      <c r="K413" s="7"/>
    </row>
    <row r="414" spans="1:11" ht="20.100000000000001" customHeight="1" x14ac:dyDescent="0.25">
      <c r="A414" s="7" t="s">
        <v>963</v>
      </c>
      <c r="B414" s="20">
        <v>13815672</v>
      </c>
      <c r="C414" s="8">
        <v>733003658038</v>
      </c>
      <c r="D414" s="6" t="s">
        <v>127</v>
      </c>
      <c r="E414" s="7">
        <v>1</v>
      </c>
      <c r="F414" s="9">
        <v>249.99</v>
      </c>
      <c r="G414" s="21">
        <v>249.99</v>
      </c>
      <c r="H414" s="7" t="s">
        <v>768</v>
      </c>
      <c r="I414" s="7" t="s">
        <v>680</v>
      </c>
      <c r="J414" s="7" t="s">
        <v>816</v>
      </c>
      <c r="K414" s="7"/>
    </row>
    <row r="415" spans="1:11" ht="20.100000000000001" customHeight="1" x14ac:dyDescent="0.25">
      <c r="A415" s="7" t="s">
        <v>963</v>
      </c>
      <c r="B415" s="20">
        <v>13815672</v>
      </c>
      <c r="C415" s="8">
        <v>679610838657</v>
      </c>
      <c r="D415" s="6" t="s">
        <v>128</v>
      </c>
      <c r="E415" s="7">
        <v>1</v>
      </c>
      <c r="F415" s="9">
        <v>59.99</v>
      </c>
      <c r="G415" s="21">
        <v>59.99</v>
      </c>
      <c r="H415" s="7" t="s">
        <v>744</v>
      </c>
      <c r="I415" s="7" t="s">
        <v>672</v>
      </c>
      <c r="J415" s="7" t="s">
        <v>774</v>
      </c>
      <c r="K415" s="7"/>
    </row>
    <row r="416" spans="1:11" ht="20.100000000000001" customHeight="1" x14ac:dyDescent="0.25">
      <c r="A416" s="7" t="s">
        <v>963</v>
      </c>
      <c r="B416" s="20">
        <v>13815672</v>
      </c>
      <c r="C416" s="8">
        <v>191790054240</v>
      </c>
      <c r="D416" s="6" t="s">
        <v>129</v>
      </c>
      <c r="E416" s="7">
        <v>1</v>
      </c>
      <c r="F416" s="9">
        <v>49.99</v>
      </c>
      <c r="G416" s="21">
        <v>49.99</v>
      </c>
      <c r="H416" s="7" t="s">
        <v>807</v>
      </c>
      <c r="I416" s="7" t="s">
        <v>666</v>
      </c>
      <c r="J416" s="7" t="s">
        <v>706</v>
      </c>
      <c r="K416" s="7"/>
    </row>
    <row r="417" spans="1:11" ht="20.100000000000001" customHeight="1" x14ac:dyDescent="0.25">
      <c r="A417" s="7" t="s">
        <v>963</v>
      </c>
      <c r="B417" s="20">
        <v>13815672</v>
      </c>
      <c r="C417" s="8">
        <v>733003366803</v>
      </c>
      <c r="D417" s="6" t="s">
        <v>130</v>
      </c>
      <c r="E417" s="7">
        <v>1</v>
      </c>
      <c r="F417" s="9">
        <v>59.99</v>
      </c>
      <c r="G417" s="21">
        <v>59.99</v>
      </c>
      <c r="H417" s="7" t="s">
        <v>807</v>
      </c>
      <c r="I417" s="7" t="s">
        <v>736</v>
      </c>
      <c r="J417" s="7" t="s">
        <v>158</v>
      </c>
      <c r="K417" s="7"/>
    </row>
    <row r="418" spans="1:11" ht="20.100000000000001" customHeight="1" x14ac:dyDescent="0.25">
      <c r="A418" s="7" t="s">
        <v>963</v>
      </c>
      <c r="B418" s="20">
        <v>13815672</v>
      </c>
      <c r="C418" s="8">
        <v>733003878184</v>
      </c>
      <c r="D418" s="6" t="s">
        <v>131</v>
      </c>
      <c r="E418" s="7">
        <v>1</v>
      </c>
      <c r="F418" s="9">
        <v>39.99</v>
      </c>
      <c r="G418" s="21">
        <v>39.99</v>
      </c>
      <c r="H418" s="7" t="s">
        <v>744</v>
      </c>
      <c r="I418" s="7" t="s">
        <v>1236</v>
      </c>
      <c r="J418" s="7" t="s">
        <v>147</v>
      </c>
      <c r="K418" s="7"/>
    </row>
    <row r="419" spans="1:11" ht="20.100000000000001" customHeight="1" x14ac:dyDescent="0.25">
      <c r="A419" s="7" t="s">
        <v>963</v>
      </c>
      <c r="B419" s="20">
        <v>13815672</v>
      </c>
      <c r="C419" s="8">
        <v>191790053564</v>
      </c>
      <c r="D419" s="6" t="s">
        <v>132</v>
      </c>
      <c r="E419" s="7">
        <v>1</v>
      </c>
      <c r="F419" s="9">
        <v>39.99</v>
      </c>
      <c r="G419" s="21">
        <v>39.99</v>
      </c>
      <c r="H419" s="7" t="s">
        <v>698</v>
      </c>
      <c r="I419" s="7" t="s">
        <v>666</v>
      </c>
      <c r="J419" s="7" t="s">
        <v>706</v>
      </c>
      <c r="K419" s="7"/>
    </row>
    <row r="420" spans="1:11" ht="20.100000000000001" customHeight="1" x14ac:dyDescent="0.25">
      <c r="A420" s="7" t="s">
        <v>963</v>
      </c>
      <c r="B420" s="20">
        <v>13815672</v>
      </c>
      <c r="C420" s="8">
        <v>99446868015</v>
      </c>
      <c r="D420" s="6" t="s">
        <v>133</v>
      </c>
      <c r="E420" s="7">
        <v>1</v>
      </c>
      <c r="F420" s="9">
        <v>11.99</v>
      </c>
      <c r="G420" s="21">
        <v>11.99</v>
      </c>
      <c r="H420" s="7" t="s">
        <v>704</v>
      </c>
      <c r="I420" s="7" t="s">
        <v>682</v>
      </c>
      <c r="J420" s="7" t="s">
        <v>159</v>
      </c>
      <c r="K420" s="7"/>
    </row>
    <row r="421" spans="1:11" ht="20.100000000000001" customHeight="1" x14ac:dyDescent="0.25">
      <c r="A421" s="7" t="s">
        <v>963</v>
      </c>
      <c r="B421" s="20">
        <v>13815672</v>
      </c>
      <c r="C421" s="8">
        <v>783048172129</v>
      </c>
      <c r="D421" s="6" t="s">
        <v>134</v>
      </c>
      <c r="E421" s="7">
        <v>1</v>
      </c>
      <c r="F421" s="9">
        <v>29.99</v>
      </c>
      <c r="G421" s="21">
        <v>29.99</v>
      </c>
      <c r="H421" s="7"/>
      <c r="I421" s="7" t="s">
        <v>672</v>
      </c>
      <c r="J421" s="7" t="s">
        <v>739</v>
      </c>
      <c r="K421" s="7"/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6"/>
  <sheetViews>
    <sheetView workbookViewId="0">
      <selection activeCell="K397" sqref="K397"/>
    </sheetView>
  </sheetViews>
  <sheetFormatPr defaultRowHeight="20.100000000000001" customHeight="1" x14ac:dyDescent="0.25"/>
  <cols>
    <col min="1" max="1" width="12.85546875" bestFit="1" customWidth="1"/>
    <col min="2" max="2" width="9" bestFit="1" customWidth="1"/>
    <col min="3" max="3" width="14.140625" bestFit="1" customWidth="1"/>
    <col min="4" max="4" width="69.85546875" bestFit="1" customWidth="1"/>
    <col min="5" max="5" width="12.42578125" style="16" bestFit="1" customWidth="1"/>
    <col min="6" max="6" width="15" bestFit="1" customWidth="1"/>
    <col min="7" max="7" width="21" bestFit="1" customWidth="1"/>
    <col min="8" max="8" width="13.140625" bestFit="1" customWidth="1"/>
    <col min="9" max="9" width="17.5703125" bestFit="1" customWidth="1"/>
    <col min="10" max="10" width="39.28515625" bestFit="1" customWidth="1"/>
    <col min="11" max="11" width="48.140625" bestFit="1" customWidth="1"/>
    <col min="12" max="12" width="64.28515625" customWidth="1"/>
  </cols>
  <sheetData>
    <row r="1" spans="1:12" ht="20.100000000000001" customHeight="1" x14ac:dyDescent="0.25">
      <c r="A1" s="23" t="s">
        <v>960</v>
      </c>
      <c r="B1" s="23" t="s">
        <v>961</v>
      </c>
      <c r="C1" s="23" t="s">
        <v>657</v>
      </c>
      <c r="D1" s="23" t="s">
        <v>658</v>
      </c>
      <c r="E1" s="23" t="s">
        <v>659</v>
      </c>
      <c r="F1" s="23" t="s">
        <v>962</v>
      </c>
      <c r="G1" s="23" t="s">
        <v>660</v>
      </c>
      <c r="H1" s="23" t="s">
        <v>661</v>
      </c>
      <c r="I1" s="23" t="s">
        <v>662</v>
      </c>
      <c r="J1" s="23" t="s">
        <v>663</v>
      </c>
      <c r="K1" s="23" t="s">
        <v>664</v>
      </c>
      <c r="L1" s="5"/>
    </row>
    <row r="2" spans="1:12" ht="20.100000000000001" customHeight="1" x14ac:dyDescent="0.25">
      <c r="A2" s="13" t="s">
        <v>160</v>
      </c>
      <c r="B2" s="14">
        <v>13814657</v>
      </c>
      <c r="C2" s="20">
        <v>10482319163</v>
      </c>
      <c r="D2" s="6" t="s">
        <v>161</v>
      </c>
      <c r="E2" s="19">
        <v>2</v>
      </c>
      <c r="F2" s="15">
        <v>32.99</v>
      </c>
      <c r="G2" s="15">
        <v>65.98</v>
      </c>
      <c r="H2" s="7" t="s">
        <v>668</v>
      </c>
      <c r="I2" s="7" t="s">
        <v>672</v>
      </c>
      <c r="J2" s="7" t="s">
        <v>776</v>
      </c>
      <c r="K2" s="7" t="str">
        <f>HYPERLINK("http://slimages.macys.com/is/image/MCY/13743861 ")</f>
        <v xml:space="preserve">http://slimages.macys.com/is/image/MCY/13743861 </v>
      </c>
      <c r="L2" s="10"/>
    </row>
    <row r="3" spans="1:12" ht="20.100000000000001" customHeight="1" x14ac:dyDescent="0.25">
      <c r="A3" s="13" t="s">
        <v>160</v>
      </c>
      <c r="B3" s="14">
        <v>13814657</v>
      </c>
      <c r="C3" s="20">
        <v>21864286928</v>
      </c>
      <c r="D3" s="6" t="s">
        <v>162</v>
      </c>
      <c r="E3" s="19">
        <v>1</v>
      </c>
      <c r="F3" s="15">
        <v>21.99</v>
      </c>
      <c r="G3" s="15">
        <v>21.99</v>
      </c>
      <c r="H3" s="7" t="s">
        <v>677</v>
      </c>
      <c r="I3" s="7" t="s">
        <v>752</v>
      </c>
      <c r="J3" s="7" t="s">
        <v>889</v>
      </c>
      <c r="K3" s="7" t="str">
        <f>HYPERLINK("http://slimages.macys.com/is/image/MCY/1119571 ")</f>
        <v xml:space="preserve">http://slimages.macys.com/is/image/MCY/1119571 </v>
      </c>
      <c r="L3" s="10"/>
    </row>
    <row r="4" spans="1:12" ht="20.100000000000001" customHeight="1" x14ac:dyDescent="0.25">
      <c r="A4" s="13" t="s">
        <v>160</v>
      </c>
      <c r="B4" s="14">
        <v>13814657</v>
      </c>
      <c r="C4" s="20">
        <v>21864336241</v>
      </c>
      <c r="D4" s="6" t="s">
        <v>163</v>
      </c>
      <c r="E4" s="19">
        <v>1</v>
      </c>
      <c r="F4" s="15">
        <v>19.989999999999998</v>
      </c>
      <c r="G4" s="15">
        <v>19.989999999999998</v>
      </c>
      <c r="H4" s="7" t="s">
        <v>691</v>
      </c>
      <c r="I4" s="7" t="s">
        <v>682</v>
      </c>
      <c r="J4" s="7" t="s">
        <v>889</v>
      </c>
      <c r="K4" s="7" t="str">
        <f>HYPERLINK("http://slimages.macys.com/is/image/MCY/2983698 ")</f>
        <v xml:space="preserve">http://slimages.macys.com/is/image/MCY/2983698 </v>
      </c>
      <c r="L4" s="10"/>
    </row>
    <row r="5" spans="1:12" ht="20.100000000000001" customHeight="1" x14ac:dyDescent="0.25">
      <c r="A5" s="13" t="s">
        <v>160</v>
      </c>
      <c r="B5" s="14">
        <v>13814657</v>
      </c>
      <c r="C5" s="20">
        <v>21864361953</v>
      </c>
      <c r="D5" s="6" t="s">
        <v>164</v>
      </c>
      <c r="E5" s="19">
        <v>1</v>
      </c>
      <c r="F5" s="15">
        <v>9.99</v>
      </c>
      <c r="G5" s="15">
        <v>9.99</v>
      </c>
      <c r="H5" s="7" t="s">
        <v>863</v>
      </c>
      <c r="I5" s="7" t="s">
        <v>682</v>
      </c>
      <c r="J5" s="7" t="s">
        <v>889</v>
      </c>
      <c r="K5" s="7" t="str">
        <f>HYPERLINK("http://slimages.macys.com/is/image/MCY/8900751 ")</f>
        <v xml:space="preserve">http://slimages.macys.com/is/image/MCY/8900751 </v>
      </c>
      <c r="L5" s="10"/>
    </row>
    <row r="6" spans="1:12" ht="20.100000000000001" customHeight="1" x14ac:dyDescent="0.25">
      <c r="A6" s="13" t="s">
        <v>160</v>
      </c>
      <c r="B6" s="14">
        <v>13814657</v>
      </c>
      <c r="C6" s="20">
        <v>21864369584</v>
      </c>
      <c r="D6" s="6" t="s">
        <v>165</v>
      </c>
      <c r="E6" s="19">
        <v>1</v>
      </c>
      <c r="F6" s="15">
        <v>29.99</v>
      </c>
      <c r="G6" s="15">
        <v>29.99</v>
      </c>
      <c r="H6" s="7" t="s">
        <v>863</v>
      </c>
      <c r="I6" s="7" t="s">
        <v>682</v>
      </c>
      <c r="J6" s="7" t="s">
        <v>889</v>
      </c>
      <c r="K6" s="7" t="str">
        <f>HYPERLINK("http://slimages.macys.com/is/image/MCY/8971593 ")</f>
        <v xml:space="preserve">http://slimages.macys.com/is/image/MCY/8971593 </v>
      </c>
      <c r="L6" s="10"/>
    </row>
    <row r="7" spans="1:12" ht="20.100000000000001" customHeight="1" x14ac:dyDescent="0.25">
      <c r="A7" s="13" t="s">
        <v>160</v>
      </c>
      <c r="B7" s="14">
        <v>13814657</v>
      </c>
      <c r="C7" s="20">
        <v>21864387663</v>
      </c>
      <c r="D7" s="6" t="s">
        <v>166</v>
      </c>
      <c r="E7" s="19">
        <v>1</v>
      </c>
      <c r="F7" s="15">
        <v>28.99</v>
      </c>
      <c r="G7" s="15">
        <v>28.99</v>
      </c>
      <c r="H7" s="7" t="s">
        <v>863</v>
      </c>
      <c r="I7" s="7" t="s">
        <v>682</v>
      </c>
      <c r="J7" s="7" t="s">
        <v>889</v>
      </c>
      <c r="K7" s="7" t="str">
        <f>HYPERLINK("http://slimages.macys.com/is/image/MCY/15009818 ")</f>
        <v xml:space="preserve">http://slimages.macys.com/is/image/MCY/15009818 </v>
      </c>
      <c r="L7" s="10"/>
    </row>
    <row r="8" spans="1:12" ht="20.100000000000001" customHeight="1" x14ac:dyDescent="0.25">
      <c r="A8" s="13" t="s">
        <v>160</v>
      </c>
      <c r="B8" s="14">
        <v>13814657</v>
      </c>
      <c r="C8" s="20">
        <v>22415405515</v>
      </c>
      <c r="D8" s="6" t="s">
        <v>167</v>
      </c>
      <c r="E8" s="19">
        <v>1</v>
      </c>
      <c r="F8" s="15">
        <v>143.99</v>
      </c>
      <c r="G8" s="15">
        <v>143.99</v>
      </c>
      <c r="H8" s="7" t="s">
        <v>701</v>
      </c>
      <c r="I8" s="7" t="s">
        <v>666</v>
      </c>
      <c r="J8" s="7" t="s">
        <v>758</v>
      </c>
      <c r="K8" s="7" t="str">
        <f>HYPERLINK("http://slimages.macys.com/is/image/MCY/12724740 ")</f>
        <v xml:space="preserve">http://slimages.macys.com/is/image/MCY/12724740 </v>
      </c>
      <c r="L8" s="10"/>
    </row>
    <row r="9" spans="1:12" ht="20.100000000000001" customHeight="1" x14ac:dyDescent="0.25">
      <c r="A9" s="13" t="s">
        <v>160</v>
      </c>
      <c r="B9" s="14">
        <v>13814657</v>
      </c>
      <c r="C9" s="20">
        <v>23878536402</v>
      </c>
      <c r="D9" s="6" t="s">
        <v>168</v>
      </c>
      <c r="E9" s="19">
        <v>1</v>
      </c>
      <c r="F9" s="15">
        <v>80.989999999999995</v>
      </c>
      <c r="G9" s="15">
        <v>80.989999999999995</v>
      </c>
      <c r="H9" s="7" t="s">
        <v>169</v>
      </c>
      <c r="I9" s="7" t="s">
        <v>752</v>
      </c>
      <c r="J9" s="7" t="s">
        <v>170</v>
      </c>
      <c r="K9" s="7" t="str">
        <f>HYPERLINK("http://slimages.macys.com/is/image/MCY/11131223 ")</f>
        <v xml:space="preserve">http://slimages.macys.com/is/image/MCY/11131223 </v>
      </c>
      <c r="L9" s="10"/>
    </row>
    <row r="10" spans="1:12" ht="20.100000000000001" customHeight="1" x14ac:dyDescent="0.25">
      <c r="A10" s="13" t="s">
        <v>160</v>
      </c>
      <c r="B10" s="14">
        <v>13814657</v>
      </c>
      <c r="C10" s="20">
        <v>23878562814</v>
      </c>
      <c r="D10" s="6" t="s">
        <v>171</v>
      </c>
      <c r="E10" s="19">
        <v>1</v>
      </c>
      <c r="F10" s="15">
        <v>39.99</v>
      </c>
      <c r="G10" s="15">
        <v>39.99</v>
      </c>
      <c r="H10" s="7" t="s">
        <v>676</v>
      </c>
      <c r="I10" s="7" t="s">
        <v>682</v>
      </c>
      <c r="J10" s="7" t="s">
        <v>170</v>
      </c>
      <c r="K10" s="7" t="str">
        <f>HYPERLINK("http://slimages.macys.com/is/image/MCY/14497993 ")</f>
        <v xml:space="preserve">http://slimages.macys.com/is/image/MCY/14497993 </v>
      </c>
      <c r="L10" s="10"/>
    </row>
    <row r="11" spans="1:12" ht="20.100000000000001" customHeight="1" x14ac:dyDescent="0.25">
      <c r="A11" s="13" t="s">
        <v>160</v>
      </c>
      <c r="B11" s="14">
        <v>13814657</v>
      </c>
      <c r="C11" s="20">
        <v>25521182981</v>
      </c>
      <c r="D11" s="6" t="s">
        <v>172</v>
      </c>
      <c r="E11" s="19">
        <v>1</v>
      </c>
      <c r="F11" s="15">
        <v>15.99</v>
      </c>
      <c r="G11" s="15">
        <v>15.99</v>
      </c>
      <c r="H11" s="7" t="s">
        <v>668</v>
      </c>
      <c r="I11" s="7" t="s">
        <v>669</v>
      </c>
      <c r="J11" s="7" t="s">
        <v>135</v>
      </c>
      <c r="K11" s="7" t="str">
        <f>HYPERLINK("http://slimages.macys.com/is/image/MCY/8152898 ")</f>
        <v xml:space="preserve">http://slimages.macys.com/is/image/MCY/8152898 </v>
      </c>
      <c r="L11" s="10"/>
    </row>
    <row r="12" spans="1:12" ht="20.100000000000001" customHeight="1" x14ac:dyDescent="0.25">
      <c r="A12" s="13" t="s">
        <v>160</v>
      </c>
      <c r="B12" s="14">
        <v>13814657</v>
      </c>
      <c r="C12" s="20">
        <v>25695992928</v>
      </c>
      <c r="D12" s="6" t="s">
        <v>173</v>
      </c>
      <c r="E12" s="19">
        <v>3</v>
      </c>
      <c r="F12" s="15">
        <v>22.99</v>
      </c>
      <c r="G12" s="15">
        <v>68.97</v>
      </c>
      <c r="H12" s="7" t="s">
        <v>668</v>
      </c>
      <c r="I12" s="7" t="s">
        <v>669</v>
      </c>
      <c r="J12" s="7" t="s">
        <v>135</v>
      </c>
      <c r="K12" s="7" t="str">
        <f>HYPERLINK("http://slimages.macys.com/is/image/MCY/16541170 ")</f>
        <v xml:space="preserve">http://slimages.macys.com/is/image/MCY/16541170 </v>
      </c>
      <c r="L12" s="10"/>
    </row>
    <row r="13" spans="1:12" ht="20.100000000000001" customHeight="1" x14ac:dyDescent="0.25">
      <c r="A13" s="13" t="s">
        <v>160</v>
      </c>
      <c r="B13" s="14">
        <v>13814657</v>
      </c>
      <c r="C13" s="20">
        <v>26865854039</v>
      </c>
      <c r="D13" s="6" t="s">
        <v>174</v>
      </c>
      <c r="E13" s="19">
        <v>1</v>
      </c>
      <c r="F13" s="15">
        <v>32.99</v>
      </c>
      <c r="G13" s="15">
        <v>32.99</v>
      </c>
      <c r="H13" s="7" t="s">
        <v>754</v>
      </c>
      <c r="I13" s="7" t="s">
        <v>674</v>
      </c>
      <c r="J13" s="7" t="s">
        <v>699</v>
      </c>
      <c r="K13" s="7" t="str">
        <f>HYPERLINK("http://slimages.macys.com/is/image/MCY/9168717 ")</f>
        <v xml:space="preserve">http://slimages.macys.com/is/image/MCY/9168717 </v>
      </c>
      <c r="L13" s="10"/>
    </row>
    <row r="14" spans="1:12" ht="20.100000000000001" customHeight="1" x14ac:dyDescent="0.25">
      <c r="A14" s="13" t="s">
        <v>160</v>
      </c>
      <c r="B14" s="14">
        <v>13814657</v>
      </c>
      <c r="C14" s="20">
        <v>26865957181</v>
      </c>
      <c r="D14" s="6" t="s">
        <v>175</v>
      </c>
      <c r="E14" s="19">
        <v>1</v>
      </c>
      <c r="F14" s="15">
        <v>36.99</v>
      </c>
      <c r="G14" s="15">
        <v>36.99</v>
      </c>
      <c r="H14" s="7" t="s">
        <v>668</v>
      </c>
      <c r="I14" s="7" t="s">
        <v>674</v>
      </c>
      <c r="J14" s="7" t="s">
        <v>699</v>
      </c>
      <c r="K14" s="7" t="str">
        <f>HYPERLINK("http://slimages.macys.com/is/image/MCY/9175647 ")</f>
        <v xml:space="preserve">http://slimages.macys.com/is/image/MCY/9175647 </v>
      </c>
      <c r="L14" s="10"/>
    </row>
    <row r="15" spans="1:12" ht="20.100000000000001" customHeight="1" x14ac:dyDescent="0.25">
      <c r="A15" s="13" t="s">
        <v>160</v>
      </c>
      <c r="B15" s="14">
        <v>13814657</v>
      </c>
      <c r="C15" s="20">
        <v>26865997217</v>
      </c>
      <c r="D15" s="6" t="s">
        <v>176</v>
      </c>
      <c r="E15" s="19">
        <v>1</v>
      </c>
      <c r="F15" s="15">
        <v>37.99</v>
      </c>
      <c r="G15" s="15">
        <v>37.99</v>
      </c>
      <c r="H15" s="7" t="s">
        <v>814</v>
      </c>
      <c r="I15" s="7" t="s">
        <v>674</v>
      </c>
      <c r="J15" s="7" t="s">
        <v>699</v>
      </c>
      <c r="K15" s="7" t="str">
        <f>HYPERLINK("http://slimages.macys.com/is/image/MCY/10635998 ")</f>
        <v xml:space="preserve">http://slimages.macys.com/is/image/MCY/10635998 </v>
      </c>
      <c r="L15" s="10"/>
    </row>
    <row r="16" spans="1:12" ht="20.100000000000001" customHeight="1" x14ac:dyDescent="0.25">
      <c r="A16" s="13" t="s">
        <v>160</v>
      </c>
      <c r="B16" s="14">
        <v>13814657</v>
      </c>
      <c r="C16" s="20">
        <v>26865997262</v>
      </c>
      <c r="D16" s="6" t="s">
        <v>177</v>
      </c>
      <c r="E16" s="19">
        <v>1</v>
      </c>
      <c r="F16" s="15">
        <v>37.99</v>
      </c>
      <c r="G16" s="15">
        <v>37.99</v>
      </c>
      <c r="H16" s="7" t="s">
        <v>773</v>
      </c>
      <c r="I16" s="7" t="s">
        <v>674</v>
      </c>
      <c r="J16" s="7" t="s">
        <v>699</v>
      </c>
      <c r="K16" s="7" t="str">
        <f>HYPERLINK("http://slimages.macys.com/is/image/MCY/10635998 ")</f>
        <v xml:space="preserve">http://slimages.macys.com/is/image/MCY/10635998 </v>
      </c>
      <c r="L16" s="10"/>
    </row>
    <row r="17" spans="1:12" ht="20.100000000000001" customHeight="1" x14ac:dyDescent="0.25">
      <c r="A17" s="13" t="s">
        <v>160</v>
      </c>
      <c r="B17" s="14">
        <v>13814657</v>
      </c>
      <c r="C17" s="20">
        <v>29927480689</v>
      </c>
      <c r="D17" s="6" t="s">
        <v>178</v>
      </c>
      <c r="E17" s="19">
        <v>1</v>
      </c>
      <c r="F17" s="15">
        <v>18.989999999999998</v>
      </c>
      <c r="G17" s="15">
        <v>18.989999999999998</v>
      </c>
      <c r="H17" s="7" t="s">
        <v>807</v>
      </c>
      <c r="I17" s="7" t="s">
        <v>674</v>
      </c>
      <c r="J17" s="7" t="s">
        <v>702</v>
      </c>
      <c r="K17" s="7" t="str">
        <f>HYPERLINK("http://slimages.macys.com/is/image/MCY/12936375 ")</f>
        <v xml:space="preserve">http://slimages.macys.com/is/image/MCY/12936375 </v>
      </c>
      <c r="L17" s="10"/>
    </row>
    <row r="18" spans="1:12" ht="20.100000000000001" customHeight="1" x14ac:dyDescent="0.25">
      <c r="A18" s="13" t="s">
        <v>160</v>
      </c>
      <c r="B18" s="14">
        <v>13814657</v>
      </c>
      <c r="C18" s="20">
        <v>29927480726</v>
      </c>
      <c r="D18" s="6" t="s">
        <v>179</v>
      </c>
      <c r="E18" s="19">
        <v>1</v>
      </c>
      <c r="F18" s="15">
        <v>19.989999999999998</v>
      </c>
      <c r="G18" s="15">
        <v>19.989999999999998</v>
      </c>
      <c r="H18" s="7" t="s">
        <v>807</v>
      </c>
      <c r="I18" s="7" t="s">
        <v>674</v>
      </c>
      <c r="J18" s="7" t="s">
        <v>702</v>
      </c>
      <c r="K18" s="7" t="str">
        <f>HYPERLINK("http://slimages.macys.com/is/image/MCY/8759583 ")</f>
        <v xml:space="preserve">http://slimages.macys.com/is/image/MCY/8759583 </v>
      </c>
      <c r="L18" s="10"/>
    </row>
    <row r="19" spans="1:12" ht="20.100000000000001" customHeight="1" x14ac:dyDescent="0.25">
      <c r="A19" s="13" t="s">
        <v>160</v>
      </c>
      <c r="B19" s="14">
        <v>13814657</v>
      </c>
      <c r="C19" s="20">
        <v>29927517040</v>
      </c>
      <c r="D19" s="6" t="s">
        <v>180</v>
      </c>
      <c r="E19" s="19">
        <v>1</v>
      </c>
      <c r="F19" s="15">
        <v>16.989999999999998</v>
      </c>
      <c r="G19" s="15">
        <v>16.989999999999998</v>
      </c>
      <c r="H19" s="7" t="s">
        <v>773</v>
      </c>
      <c r="I19" s="7" t="s">
        <v>674</v>
      </c>
      <c r="J19" s="7" t="s">
        <v>702</v>
      </c>
      <c r="K19" s="7" t="str">
        <f>HYPERLINK("http://slimages.macys.com/is/image/MCY/8759583 ")</f>
        <v xml:space="preserve">http://slimages.macys.com/is/image/MCY/8759583 </v>
      </c>
      <c r="L19" s="10"/>
    </row>
    <row r="20" spans="1:12" ht="20.100000000000001" customHeight="1" x14ac:dyDescent="0.25">
      <c r="A20" s="13" t="s">
        <v>160</v>
      </c>
      <c r="B20" s="14">
        <v>13814657</v>
      </c>
      <c r="C20" s="20">
        <v>29927524437</v>
      </c>
      <c r="D20" s="6" t="s">
        <v>181</v>
      </c>
      <c r="E20" s="19">
        <v>1</v>
      </c>
      <c r="F20" s="15">
        <v>14.99</v>
      </c>
      <c r="G20" s="15">
        <v>14.99</v>
      </c>
      <c r="H20" s="7" t="s">
        <v>668</v>
      </c>
      <c r="I20" s="7" t="s">
        <v>674</v>
      </c>
      <c r="J20" s="7" t="s">
        <v>702</v>
      </c>
      <c r="K20" s="7" t="str">
        <f>HYPERLINK("http://slimages.macys.com/is/image/MCY/9644198 ")</f>
        <v xml:space="preserve">http://slimages.macys.com/is/image/MCY/9644198 </v>
      </c>
      <c r="L20" s="10"/>
    </row>
    <row r="21" spans="1:12" ht="20.100000000000001" customHeight="1" x14ac:dyDescent="0.25">
      <c r="A21" s="13" t="s">
        <v>160</v>
      </c>
      <c r="B21" s="14">
        <v>13814657</v>
      </c>
      <c r="C21" s="20">
        <v>29927524567</v>
      </c>
      <c r="D21" s="6" t="s">
        <v>997</v>
      </c>
      <c r="E21" s="19">
        <v>1</v>
      </c>
      <c r="F21" s="15">
        <v>14.99</v>
      </c>
      <c r="G21" s="15">
        <v>14.99</v>
      </c>
      <c r="H21" s="7" t="s">
        <v>668</v>
      </c>
      <c r="I21" s="7" t="s">
        <v>674</v>
      </c>
      <c r="J21" s="7" t="s">
        <v>702</v>
      </c>
      <c r="K21" s="7" t="str">
        <f>HYPERLINK("http://slimages.macys.com/is/image/MCY/9644295 ")</f>
        <v xml:space="preserve">http://slimages.macys.com/is/image/MCY/9644295 </v>
      </c>
      <c r="L21" s="10"/>
    </row>
    <row r="22" spans="1:12" ht="20.100000000000001" customHeight="1" x14ac:dyDescent="0.25">
      <c r="A22" s="13" t="s">
        <v>160</v>
      </c>
      <c r="B22" s="14">
        <v>13814657</v>
      </c>
      <c r="C22" s="20">
        <v>29927565959</v>
      </c>
      <c r="D22" s="6" t="s">
        <v>182</v>
      </c>
      <c r="E22" s="19">
        <v>1</v>
      </c>
      <c r="F22" s="15">
        <v>43.99</v>
      </c>
      <c r="G22" s="15">
        <v>43.99</v>
      </c>
      <c r="H22" s="7" t="s">
        <v>671</v>
      </c>
      <c r="I22" s="7" t="s">
        <v>674</v>
      </c>
      <c r="J22" s="7" t="s">
        <v>702</v>
      </c>
      <c r="K22" s="7" t="str">
        <f>HYPERLINK("http://slimages.macys.com/is/image/MCY/16060450 ")</f>
        <v xml:space="preserve">http://slimages.macys.com/is/image/MCY/16060450 </v>
      </c>
      <c r="L22" s="10"/>
    </row>
    <row r="23" spans="1:12" ht="20.100000000000001" customHeight="1" x14ac:dyDescent="0.25">
      <c r="A23" s="13" t="s">
        <v>160</v>
      </c>
      <c r="B23" s="14">
        <v>13814657</v>
      </c>
      <c r="C23" s="20">
        <v>29927566963</v>
      </c>
      <c r="D23" s="6" t="s">
        <v>821</v>
      </c>
      <c r="E23" s="19">
        <v>2</v>
      </c>
      <c r="F23" s="15">
        <v>24.99</v>
      </c>
      <c r="G23" s="15">
        <v>49.98</v>
      </c>
      <c r="H23" s="7" t="s">
        <v>701</v>
      </c>
      <c r="I23" s="7" t="s">
        <v>674</v>
      </c>
      <c r="J23" s="7" t="s">
        <v>702</v>
      </c>
      <c r="K23" s="7" t="str">
        <f>HYPERLINK("http://slimages.macys.com/is/image/MCY/16061254 ")</f>
        <v xml:space="preserve">http://slimages.macys.com/is/image/MCY/16061254 </v>
      </c>
      <c r="L23" s="10"/>
    </row>
    <row r="24" spans="1:12" ht="20.100000000000001" customHeight="1" x14ac:dyDescent="0.25">
      <c r="A24" s="13" t="s">
        <v>160</v>
      </c>
      <c r="B24" s="14">
        <v>13814657</v>
      </c>
      <c r="C24" s="20">
        <v>32281181628</v>
      </c>
      <c r="D24" s="6" t="s">
        <v>899</v>
      </c>
      <c r="E24" s="19">
        <v>2</v>
      </c>
      <c r="F24" s="15">
        <v>24.99</v>
      </c>
      <c r="G24" s="15">
        <v>49.98</v>
      </c>
      <c r="H24" s="7"/>
      <c r="I24" s="7" t="s">
        <v>1294</v>
      </c>
      <c r="J24" s="7" t="s">
        <v>898</v>
      </c>
      <c r="K24" s="7" t="str">
        <f>HYPERLINK("http://slimages.macys.com/is/image/MCY/17893199 ")</f>
        <v xml:space="preserve">http://slimages.macys.com/is/image/MCY/17893199 </v>
      </c>
      <c r="L24" s="10"/>
    </row>
    <row r="25" spans="1:12" ht="20.100000000000001" customHeight="1" x14ac:dyDescent="0.25">
      <c r="A25" s="13" t="s">
        <v>160</v>
      </c>
      <c r="B25" s="14">
        <v>13814657</v>
      </c>
      <c r="C25" s="20">
        <v>32281199579</v>
      </c>
      <c r="D25" s="6" t="s">
        <v>183</v>
      </c>
      <c r="E25" s="19">
        <v>1</v>
      </c>
      <c r="F25" s="15">
        <v>119.99</v>
      </c>
      <c r="G25" s="15">
        <v>119.99</v>
      </c>
      <c r="H25" s="7"/>
      <c r="I25" s="7" t="s">
        <v>1294</v>
      </c>
      <c r="J25" s="7" t="s">
        <v>898</v>
      </c>
      <c r="K25" s="7" t="str">
        <f>HYPERLINK("http://slimages.macys.com/is/image/MCY/19086619 ")</f>
        <v xml:space="preserve">http://slimages.macys.com/is/image/MCY/19086619 </v>
      </c>
      <c r="L25" s="10"/>
    </row>
    <row r="26" spans="1:12" ht="20.100000000000001" customHeight="1" x14ac:dyDescent="0.25">
      <c r="A26" s="13" t="s">
        <v>160</v>
      </c>
      <c r="B26" s="14">
        <v>13814657</v>
      </c>
      <c r="C26" s="20">
        <v>32281252168</v>
      </c>
      <c r="D26" s="6" t="s">
        <v>184</v>
      </c>
      <c r="E26" s="19">
        <v>4</v>
      </c>
      <c r="F26" s="15">
        <v>14.99</v>
      </c>
      <c r="G26" s="15">
        <v>59.96</v>
      </c>
      <c r="H26" s="7"/>
      <c r="I26" s="7" t="s">
        <v>1294</v>
      </c>
      <c r="J26" s="7" t="s">
        <v>898</v>
      </c>
      <c r="K26" s="7" t="str">
        <f>HYPERLINK("http://slimages.macys.com/is/image/MCY/17682957 ")</f>
        <v xml:space="preserve">http://slimages.macys.com/is/image/MCY/17682957 </v>
      </c>
      <c r="L26" s="10"/>
    </row>
    <row r="27" spans="1:12" ht="20.100000000000001" customHeight="1" x14ac:dyDescent="0.25">
      <c r="A27" s="13" t="s">
        <v>160</v>
      </c>
      <c r="B27" s="14">
        <v>13814657</v>
      </c>
      <c r="C27" s="20">
        <v>32281685621</v>
      </c>
      <c r="D27" s="6" t="s">
        <v>185</v>
      </c>
      <c r="E27" s="19">
        <v>1</v>
      </c>
      <c r="F27" s="15">
        <v>19.989999999999998</v>
      </c>
      <c r="G27" s="15">
        <v>19.989999999999998</v>
      </c>
      <c r="H27" s="7"/>
      <c r="I27" s="7" t="s">
        <v>682</v>
      </c>
      <c r="J27" s="7" t="s">
        <v>898</v>
      </c>
      <c r="K27" s="7" t="str">
        <f>HYPERLINK("http://slimages.macys.com/is/image/MCY/18809387 ")</f>
        <v xml:space="preserve">http://slimages.macys.com/is/image/MCY/18809387 </v>
      </c>
      <c r="L27" s="10"/>
    </row>
    <row r="28" spans="1:12" ht="20.100000000000001" customHeight="1" x14ac:dyDescent="0.25">
      <c r="A28" s="13" t="s">
        <v>160</v>
      </c>
      <c r="B28" s="14">
        <v>13814657</v>
      </c>
      <c r="C28" s="20">
        <v>86569047182</v>
      </c>
      <c r="D28" s="6" t="s">
        <v>1033</v>
      </c>
      <c r="E28" s="19">
        <v>1</v>
      </c>
      <c r="F28" s="15">
        <v>109.99</v>
      </c>
      <c r="G28" s="15">
        <v>109.99</v>
      </c>
      <c r="H28" s="7" t="s">
        <v>677</v>
      </c>
      <c r="I28" s="7" t="s">
        <v>736</v>
      </c>
      <c r="J28" s="7" t="s">
        <v>679</v>
      </c>
      <c r="K28" s="7" t="str">
        <f>HYPERLINK("http://slimages.macys.com/is/image/MCY/10139063 ")</f>
        <v xml:space="preserve">http://slimages.macys.com/is/image/MCY/10139063 </v>
      </c>
      <c r="L28" s="10"/>
    </row>
    <row r="29" spans="1:12" ht="20.100000000000001" customHeight="1" x14ac:dyDescent="0.25">
      <c r="A29" s="13" t="s">
        <v>160</v>
      </c>
      <c r="B29" s="14">
        <v>13814657</v>
      </c>
      <c r="C29" s="20">
        <v>86569100511</v>
      </c>
      <c r="D29" s="6" t="s">
        <v>186</v>
      </c>
      <c r="E29" s="19">
        <v>1</v>
      </c>
      <c r="F29" s="15">
        <v>184.99</v>
      </c>
      <c r="G29" s="15">
        <v>184.99</v>
      </c>
      <c r="H29" s="7" t="s">
        <v>677</v>
      </c>
      <c r="I29" s="7" t="s">
        <v>672</v>
      </c>
      <c r="J29" s="7" t="s">
        <v>679</v>
      </c>
      <c r="K29" s="7" t="str">
        <f>HYPERLINK("http://slimages.macys.com/is/image/MCY/11825191 ")</f>
        <v xml:space="preserve">http://slimages.macys.com/is/image/MCY/11825191 </v>
      </c>
      <c r="L29" s="10"/>
    </row>
    <row r="30" spans="1:12" ht="20.100000000000001" customHeight="1" x14ac:dyDescent="0.25">
      <c r="A30" s="13" t="s">
        <v>160</v>
      </c>
      <c r="B30" s="14">
        <v>13814657</v>
      </c>
      <c r="C30" s="20">
        <v>86569111333</v>
      </c>
      <c r="D30" s="6" t="s">
        <v>187</v>
      </c>
      <c r="E30" s="19">
        <v>1</v>
      </c>
      <c r="F30" s="15">
        <v>19.989999999999998</v>
      </c>
      <c r="G30" s="15">
        <v>19.989999999999998</v>
      </c>
      <c r="H30" s="7"/>
      <c r="I30" s="7" t="s">
        <v>682</v>
      </c>
      <c r="J30" s="7" t="s">
        <v>679</v>
      </c>
      <c r="K30" s="7" t="str">
        <f>HYPERLINK("http://slimages.macys.com/is/image/MCY/10044390 ")</f>
        <v xml:space="preserve">http://slimages.macys.com/is/image/MCY/10044390 </v>
      </c>
      <c r="L30" s="10"/>
    </row>
    <row r="31" spans="1:12" ht="20.100000000000001" customHeight="1" x14ac:dyDescent="0.25">
      <c r="A31" s="13" t="s">
        <v>160</v>
      </c>
      <c r="B31" s="14">
        <v>13814657</v>
      </c>
      <c r="C31" s="20">
        <v>86569158611</v>
      </c>
      <c r="D31" s="6" t="s">
        <v>188</v>
      </c>
      <c r="E31" s="19">
        <v>1</v>
      </c>
      <c r="F31" s="15">
        <v>60.99</v>
      </c>
      <c r="G31" s="15">
        <v>60.99</v>
      </c>
      <c r="H31" s="7" t="s">
        <v>671</v>
      </c>
      <c r="I31" s="7" t="s">
        <v>672</v>
      </c>
      <c r="J31" s="7" t="s">
        <v>679</v>
      </c>
      <c r="K31" s="7" t="str">
        <f>HYPERLINK("http://slimages.macys.com/is/image/MCY/14572954 ")</f>
        <v xml:space="preserve">http://slimages.macys.com/is/image/MCY/14572954 </v>
      </c>
      <c r="L31" s="10"/>
    </row>
    <row r="32" spans="1:12" ht="20.100000000000001" customHeight="1" x14ac:dyDescent="0.25">
      <c r="A32" s="13" t="s">
        <v>160</v>
      </c>
      <c r="B32" s="14">
        <v>13814657</v>
      </c>
      <c r="C32" s="20">
        <v>86569193582</v>
      </c>
      <c r="D32" s="6" t="s">
        <v>189</v>
      </c>
      <c r="E32" s="19">
        <v>1</v>
      </c>
      <c r="F32" s="15">
        <v>145.99</v>
      </c>
      <c r="G32" s="15">
        <v>145.99</v>
      </c>
      <c r="H32" s="7" t="s">
        <v>766</v>
      </c>
      <c r="I32" s="7" t="s">
        <v>672</v>
      </c>
      <c r="J32" s="7" t="s">
        <v>679</v>
      </c>
      <c r="K32" s="7" t="str">
        <f>HYPERLINK("http://slimages.macys.com/is/image/MCY/14429222 ")</f>
        <v xml:space="preserve">http://slimages.macys.com/is/image/MCY/14429222 </v>
      </c>
      <c r="L32" s="10"/>
    </row>
    <row r="33" spans="1:12" ht="20.100000000000001" customHeight="1" x14ac:dyDescent="0.25">
      <c r="A33" s="13" t="s">
        <v>160</v>
      </c>
      <c r="B33" s="14">
        <v>13814657</v>
      </c>
      <c r="C33" s="20">
        <v>86569279729</v>
      </c>
      <c r="D33" s="6" t="s">
        <v>1036</v>
      </c>
      <c r="E33" s="19">
        <v>3</v>
      </c>
      <c r="F33" s="15">
        <v>109.99</v>
      </c>
      <c r="G33" s="15">
        <v>329.97</v>
      </c>
      <c r="H33" s="7" t="s">
        <v>708</v>
      </c>
      <c r="I33" s="7" t="s">
        <v>672</v>
      </c>
      <c r="J33" s="7" t="s">
        <v>679</v>
      </c>
      <c r="K33" s="7" t="str">
        <f>HYPERLINK("http://slimages.macys.com/is/image/MCY/14654906 ")</f>
        <v xml:space="preserve">http://slimages.macys.com/is/image/MCY/14654906 </v>
      </c>
      <c r="L33" s="10"/>
    </row>
    <row r="34" spans="1:12" ht="20.100000000000001" customHeight="1" x14ac:dyDescent="0.25">
      <c r="A34" s="13" t="s">
        <v>160</v>
      </c>
      <c r="B34" s="14">
        <v>13814657</v>
      </c>
      <c r="C34" s="20">
        <v>86569286406</v>
      </c>
      <c r="D34" s="6" t="s">
        <v>190</v>
      </c>
      <c r="E34" s="19">
        <v>1</v>
      </c>
      <c r="F34" s="15">
        <v>68.989999999999995</v>
      </c>
      <c r="G34" s="15">
        <v>68.989999999999995</v>
      </c>
      <c r="H34" s="7" t="s">
        <v>759</v>
      </c>
      <c r="I34" s="7" t="s">
        <v>666</v>
      </c>
      <c r="J34" s="7" t="s">
        <v>756</v>
      </c>
      <c r="K34" s="7" t="str">
        <f>HYPERLINK("http://slimages.macys.com/is/image/MCY/16484805 ")</f>
        <v xml:space="preserve">http://slimages.macys.com/is/image/MCY/16484805 </v>
      </c>
      <c r="L34" s="10"/>
    </row>
    <row r="35" spans="1:12" ht="20.100000000000001" customHeight="1" x14ac:dyDescent="0.25">
      <c r="A35" s="13" t="s">
        <v>160</v>
      </c>
      <c r="B35" s="14">
        <v>13814657</v>
      </c>
      <c r="C35" s="20">
        <v>86569287526</v>
      </c>
      <c r="D35" s="6" t="s">
        <v>191</v>
      </c>
      <c r="E35" s="19">
        <v>1</v>
      </c>
      <c r="F35" s="15">
        <v>31.99</v>
      </c>
      <c r="G35" s="15">
        <v>31.99</v>
      </c>
      <c r="H35" s="7" t="s">
        <v>676</v>
      </c>
      <c r="I35" s="7" t="s">
        <v>1294</v>
      </c>
      <c r="J35" s="7" t="s">
        <v>815</v>
      </c>
      <c r="K35" s="7" t="str">
        <f>HYPERLINK("http://slimages.macys.com/is/image/MCY/15693569 ")</f>
        <v xml:space="preserve">http://slimages.macys.com/is/image/MCY/15693569 </v>
      </c>
      <c r="L35" s="10"/>
    </row>
    <row r="36" spans="1:12" ht="20.100000000000001" customHeight="1" x14ac:dyDescent="0.25">
      <c r="A36" s="13" t="s">
        <v>160</v>
      </c>
      <c r="B36" s="14">
        <v>13814657</v>
      </c>
      <c r="C36" s="20">
        <v>86569343499</v>
      </c>
      <c r="D36" s="6" t="s">
        <v>192</v>
      </c>
      <c r="E36" s="19">
        <v>1</v>
      </c>
      <c r="F36" s="15">
        <v>79.989999999999995</v>
      </c>
      <c r="G36" s="15">
        <v>79.989999999999995</v>
      </c>
      <c r="H36" s="7"/>
      <c r="I36" s="7" t="s">
        <v>1294</v>
      </c>
      <c r="J36" s="7" t="s">
        <v>815</v>
      </c>
      <c r="K36" s="7" t="str">
        <f>HYPERLINK("http://slimages.macys.com/is/image/MCY/16661217 ")</f>
        <v xml:space="preserve">http://slimages.macys.com/is/image/MCY/16661217 </v>
      </c>
      <c r="L36" s="10"/>
    </row>
    <row r="37" spans="1:12" ht="20.100000000000001" customHeight="1" x14ac:dyDescent="0.25">
      <c r="A37" s="13" t="s">
        <v>160</v>
      </c>
      <c r="B37" s="14">
        <v>13814657</v>
      </c>
      <c r="C37" s="20">
        <v>86569363442</v>
      </c>
      <c r="D37" s="6" t="s">
        <v>959</v>
      </c>
      <c r="E37" s="19">
        <v>1</v>
      </c>
      <c r="F37" s="15">
        <v>47.99</v>
      </c>
      <c r="G37" s="15">
        <v>47.99</v>
      </c>
      <c r="H37" s="7" t="s">
        <v>677</v>
      </c>
      <c r="I37" s="7" t="s">
        <v>730</v>
      </c>
      <c r="J37" s="7" t="s">
        <v>760</v>
      </c>
      <c r="K37" s="7" t="str">
        <f>HYPERLINK("http://slimages.macys.com/is/image/MCY/9489266 ")</f>
        <v xml:space="preserve">http://slimages.macys.com/is/image/MCY/9489266 </v>
      </c>
      <c r="L37" s="10"/>
    </row>
    <row r="38" spans="1:12" ht="20.100000000000001" customHeight="1" x14ac:dyDescent="0.25">
      <c r="A38" s="13" t="s">
        <v>160</v>
      </c>
      <c r="B38" s="14">
        <v>13814657</v>
      </c>
      <c r="C38" s="20">
        <v>86569390431</v>
      </c>
      <c r="D38" s="6" t="s">
        <v>1044</v>
      </c>
      <c r="E38" s="19">
        <v>1</v>
      </c>
      <c r="F38" s="15">
        <v>149.99</v>
      </c>
      <c r="G38" s="15">
        <v>149.99</v>
      </c>
      <c r="H38" s="7" t="s">
        <v>668</v>
      </c>
      <c r="I38" s="7" t="s">
        <v>736</v>
      </c>
      <c r="J38" s="7" t="s">
        <v>679</v>
      </c>
      <c r="K38" s="7" t="str">
        <f>HYPERLINK("http://slimages.macys.com/is/image/MCY/17532077 ")</f>
        <v xml:space="preserve">http://slimages.macys.com/is/image/MCY/17532077 </v>
      </c>
      <c r="L38" s="10"/>
    </row>
    <row r="39" spans="1:12" ht="20.100000000000001" customHeight="1" x14ac:dyDescent="0.25">
      <c r="A39" s="13" t="s">
        <v>160</v>
      </c>
      <c r="B39" s="14">
        <v>13814657</v>
      </c>
      <c r="C39" s="20">
        <v>86569404817</v>
      </c>
      <c r="D39" s="6" t="s">
        <v>193</v>
      </c>
      <c r="E39" s="19">
        <v>1</v>
      </c>
      <c r="F39" s="15">
        <v>54.99</v>
      </c>
      <c r="G39" s="15">
        <v>54.99</v>
      </c>
      <c r="H39" s="7" t="s">
        <v>677</v>
      </c>
      <c r="I39" s="7" t="s">
        <v>736</v>
      </c>
      <c r="J39" s="7" t="s">
        <v>679</v>
      </c>
      <c r="K39" s="7" t="str">
        <f>HYPERLINK("http://slimages.macys.com/is/image/MCY/18302649 ")</f>
        <v xml:space="preserve">http://slimages.macys.com/is/image/MCY/18302649 </v>
      </c>
      <c r="L39" s="10"/>
    </row>
    <row r="40" spans="1:12" ht="20.100000000000001" customHeight="1" x14ac:dyDescent="0.25">
      <c r="A40" s="13" t="s">
        <v>160</v>
      </c>
      <c r="B40" s="14">
        <v>13814657</v>
      </c>
      <c r="C40" s="20">
        <v>86569497369</v>
      </c>
      <c r="D40" s="6" t="s">
        <v>194</v>
      </c>
      <c r="E40" s="19">
        <v>1</v>
      </c>
      <c r="F40" s="15">
        <v>89.99</v>
      </c>
      <c r="G40" s="15">
        <v>89.99</v>
      </c>
      <c r="H40" s="7"/>
      <c r="I40" s="7" t="s">
        <v>1294</v>
      </c>
      <c r="J40" s="7" t="s">
        <v>815</v>
      </c>
      <c r="K40" s="7" t="str">
        <f>HYPERLINK("http://slimages.macys.com/is/image/MCY/19631579 ")</f>
        <v xml:space="preserve">http://slimages.macys.com/is/image/MCY/19631579 </v>
      </c>
      <c r="L40" s="10"/>
    </row>
    <row r="41" spans="1:12" ht="20.100000000000001" customHeight="1" x14ac:dyDescent="0.25">
      <c r="A41" s="13" t="s">
        <v>160</v>
      </c>
      <c r="B41" s="14">
        <v>13814657</v>
      </c>
      <c r="C41" s="20">
        <v>86569497376</v>
      </c>
      <c r="D41" s="6" t="s">
        <v>195</v>
      </c>
      <c r="E41" s="19">
        <v>1</v>
      </c>
      <c r="F41" s="15">
        <v>79.989999999999995</v>
      </c>
      <c r="G41" s="15">
        <v>79.989999999999995</v>
      </c>
      <c r="H41" s="7" t="s">
        <v>784</v>
      </c>
      <c r="I41" s="7" t="s">
        <v>1294</v>
      </c>
      <c r="J41" s="7" t="s">
        <v>815</v>
      </c>
      <c r="K41" s="7" t="str">
        <f>HYPERLINK("http://slimages.macys.com/is/image/MCY/18975003 ")</f>
        <v xml:space="preserve">http://slimages.macys.com/is/image/MCY/18975003 </v>
      </c>
      <c r="L41" s="10"/>
    </row>
    <row r="42" spans="1:12" ht="20.100000000000001" customHeight="1" x14ac:dyDescent="0.25">
      <c r="A42" s="13" t="s">
        <v>160</v>
      </c>
      <c r="B42" s="14">
        <v>13814657</v>
      </c>
      <c r="C42" s="20">
        <v>86569497451</v>
      </c>
      <c r="D42" s="6" t="s">
        <v>196</v>
      </c>
      <c r="E42" s="19">
        <v>1</v>
      </c>
      <c r="F42" s="15">
        <v>49.99</v>
      </c>
      <c r="G42" s="15">
        <v>49.99</v>
      </c>
      <c r="H42" s="7" t="s">
        <v>784</v>
      </c>
      <c r="I42" s="7" t="s">
        <v>1294</v>
      </c>
      <c r="J42" s="7" t="s">
        <v>815</v>
      </c>
      <c r="K42" s="7" t="str">
        <f>HYPERLINK("http://slimages.macys.com/is/image/MCY/19631703 ")</f>
        <v xml:space="preserve">http://slimages.macys.com/is/image/MCY/19631703 </v>
      </c>
      <c r="L42" s="10"/>
    </row>
    <row r="43" spans="1:12" ht="20.100000000000001" customHeight="1" x14ac:dyDescent="0.25">
      <c r="A43" s="13" t="s">
        <v>160</v>
      </c>
      <c r="B43" s="14">
        <v>13814657</v>
      </c>
      <c r="C43" s="20">
        <v>86569497475</v>
      </c>
      <c r="D43" s="6" t="s">
        <v>197</v>
      </c>
      <c r="E43" s="19">
        <v>1</v>
      </c>
      <c r="F43" s="15">
        <v>49.99</v>
      </c>
      <c r="G43" s="15">
        <v>49.99</v>
      </c>
      <c r="H43" s="7" t="s">
        <v>676</v>
      </c>
      <c r="I43" s="7" t="s">
        <v>1294</v>
      </c>
      <c r="J43" s="7" t="s">
        <v>815</v>
      </c>
      <c r="K43" s="7" t="str">
        <f>HYPERLINK("http://slimages.macys.com/is/image/MCY/19631621 ")</f>
        <v xml:space="preserve">http://slimages.macys.com/is/image/MCY/19631621 </v>
      </c>
      <c r="L43" s="10"/>
    </row>
    <row r="44" spans="1:12" ht="20.100000000000001" customHeight="1" x14ac:dyDescent="0.25">
      <c r="A44" s="13" t="s">
        <v>160</v>
      </c>
      <c r="B44" s="14">
        <v>13814657</v>
      </c>
      <c r="C44" s="20">
        <v>86569497741</v>
      </c>
      <c r="D44" s="6" t="s">
        <v>198</v>
      </c>
      <c r="E44" s="19">
        <v>1</v>
      </c>
      <c r="F44" s="15">
        <v>179.99</v>
      </c>
      <c r="G44" s="15">
        <v>179.99</v>
      </c>
      <c r="H44" s="7" t="s">
        <v>665</v>
      </c>
      <c r="I44" s="7" t="s">
        <v>672</v>
      </c>
      <c r="J44" s="7" t="s">
        <v>679</v>
      </c>
      <c r="K44" s="7" t="str">
        <f>HYPERLINK("http://slimages.macys.com/is/image/MCY/18883085 ")</f>
        <v xml:space="preserve">http://slimages.macys.com/is/image/MCY/18883085 </v>
      </c>
      <c r="L44" s="10"/>
    </row>
    <row r="45" spans="1:12" ht="20.100000000000001" customHeight="1" x14ac:dyDescent="0.25">
      <c r="A45" s="13" t="s">
        <v>160</v>
      </c>
      <c r="B45" s="14">
        <v>13814657</v>
      </c>
      <c r="C45" s="20">
        <v>86569604156</v>
      </c>
      <c r="D45" s="6" t="s">
        <v>199</v>
      </c>
      <c r="E45" s="19">
        <v>1</v>
      </c>
      <c r="F45" s="15">
        <v>19.989999999999998</v>
      </c>
      <c r="G45" s="15">
        <v>19.989999999999998</v>
      </c>
      <c r="H45" s="7" t="s">
        <v>717</v>
      </c>
      <c r="I45" s="7" t="s">
        <v>674</v>
      </c>
      <c r="J45" s="7" t="s">
        <v>679</v>
      </c>
      <c r="K45" s="7" t="str">
        <f>HYPERLINK("http://slimages.macys.com/is/image/MCY/19413715 ")</f>
        <v xml:space="preserve">http://slimages.macys.com/is/image/MCY/19413715 </v>
      </c>
      <c r="L45" s="10"/>
    </row>
    <row r="46" spans="1:12" ht="20.100000000000001" customHeight="1" x14ac:dyDescent="0.25">
      <c r="A46" s="13" t="s">
        <v>160</v>
      </c>
      <c r="B46" s="14">
        <v>13814657</v>
      </c>
      <c r="C46" s="20">
        <v>86569896728</v>
      </c>
      <c r="D46" s="6" t="s">
        <v>1047</v>
      </c>
      <c r="E46" s="19">
        <v>1</v>
      </c>
      <c r="F46" s="15">
        <v>31.99</v>
      </c>
      <c r="G46" s="15">
        <v>31.99</v>
      </c>
      <c r="H46" s="7" t="s">
        <v>707</v>
      </c>
      <c r="I46" s="7" t="s">
        <v>674</v>
      </c>
      <c r="J46" s="7" t="s">
        <v>679</v>
      </c>
      <c r="K46" s="7" t="str">
        <f>HYPERLINK("http://slimages.macys.com/is/image/MCY/9613989 ")</f>
        <v xml:space="preserve">http://slimages.macys.com/is/image/MCY/9613989 </v>
      </c>
      <c r="L46" s="10"/>
    </row>
    <row r="47" spans="1:12" ht="20.100000000000001" customHeight="1" x14ac:dyDescent="0.25">
      <c r="A47" s="13" t="s">
        <v>160</v>
      </c>
      <c r="B47" s="14">
        <v>13814657</v>
      </c>
      <c r="C47" s="20">
        <v>86569987426</v>
      </c>
      <c r="D47" s="6" t="s">
        <v>200</v>
      </c>
      <c r="E47" s="19">
        <v>2</v>
      </c>
      <c r="F47" s="15">
        <v>30.99</v>
      </c>
      <c r="G47" s="15">
        <v>61.98</v>
      </c>
      <c r="H47" s="7" t="s">
        <v>668</v>
      </c>
      <c r="I47" s="7" t="s">
        <v>674</v>
      </c>
      <c r="J47" s="7" t="s">
        <v>679</v>
      </c>
      <c r="K47" s="7" t="str">
        <f>HYPERLINK("http://slimages.macys.com/is/image/MCY/10010883 ")</f>
        <v xml:space="preserve">http://slimages.macys.com/is/image/MCY/10010883 </v>
      </c>
      <c r="L47" s="10"/>
    </row>
    <row r="48" spans="1:12" ht="20.100000000000001" customHeight="1" x14ac:dyDescent="0.25">
      <c r="A48" s="13" t="s">
        <v>160</v>
      </c>
      <c r="B48" s="14">
        <v>13814657</v>
      </c>
      <c r="C48" s="20">
        <v>91116729503</v>
      </c>
      <c r="D48" s="6" t="s">
        <v>201</v>
      </c>
      <c r="E48" s="19">
        <v>1</v>
      </c>
      <c r="F48" s="15">
        <v>16.989999999999998</v>
      </c>
      <c r="G48" s="15">
        <v>16.989999999999998</v>
      </c>
      <c r="H48" s="7"/>
      <c r="I48" s="7" t="s">
        <v>666</v>
      </c>
      <c r="J48" s="7" t="s">
        <v>929</v>
      </c>
      <c r="K48" s="7" t="str">
        <f>HYPERLINK("http://slimages.macys.com/is/image/MCY/3153811 ")</f>
        <v xml:space="preserve">http://slimages.macys.com/is/image/MCY/3153811 </v>
      </c>
      <c r="L48" s="10"/>
    </row>
    <row r="49" spans="1:12" ht="20.100000000000001" customHeight="1" x14ac:dyDescent="0.25">
      <c r="A49" s="13" t="s">
        <v>160</v>
      </c>
      <c r="B49" s="14">
        <v>13814657</v>
      </c>
      <c r="C49" s="20">
        <v>96675361119</v>
      </c>
      <c r="D49" s="6" t="s">
        <v>202</v>
      </c>
      <c r="E49" s="19">
        <v>1</v>
      </c>
      <c r="F49" s="15">
        <v>43.99</v>
      </c>
      <c r="G49" s="15">
        <v>43.99</v>
      </c>
      <c r="H49" s="7" t="s">
        <v>668</v>
      </c>
      <c r="I49" s="7" t="s">
        <v>669</v>
      </c>
      <c r="J49" s="7" t="s">
        <v>787</v>
      </c>
      <c r="K49" s="7" t="str">
        <f>HYPERLINK("http://slimages.macys.com/is/image/MCY/16456677 ")</f>
        <v xml:space="preserve">http://slimages.macys.com/is/image/MCY/16456677 </v>
      </c>
      <c r="L49" s="10"/>
    </row>
    <row r="50" spans="1:12" ht="20.100000000000001" customHeight="1" x14ac:dyDescent="0.25">
      <c r="A50" s="13" t="s">
        <v>160</v>
      </c>
      <c r="B50" s="14">
        <v>13814657</v>
      </c>
      <c r="C50" s="20">
        <v>96675394018</v>
      </c>
      <c r="D50" s="6" t="s">
        <v>203</v>
      </c>
      <c r="E50" s="19">
        <v>1</v>
      </c>
      <c r="F50" s="15">
        <v>17.989999999999998</v>
      </c>
      <c r="G50" s="15">
        <v>17.989999999999998</v>
      </c>
      <c r="H50" s="7" t="s">
        <v>668</v>
      </c>
      <c r="I50" s="7" t="s">
        <v>669</v>
      </c>
      <c r="J50" s="7" t="s">
        <v>787</v>
      </c>
      <c r="K50" s="7" t="str">
        <f>HYPERLINK("http://slimages.macys.com/is/image/MCY/18461838 ")</f>
        <v xml:space="preserve">http://slimages.macys.com/is/image/MCY/18461838 </v>
      </c>
      <c r="L50" s="10"/>
    </row>
    <row r="51" spans="1:12" ht="20.100000000000001" customHeight="1" x14ac:dyDescent="0.25">
      <c r="A51" s="13" t="s">
        <v>160</v>
      </c>
      <c r="B51" s="14">
        <v>13814657</v>
      </c>
      <c r="C51" s="20">
        <v>96675639720</v>
      </c>
      <c r="D51" s="6" t="s">
        <v>907</v>
      </c>
      <c r="E51" s="19">
        <v>1</v>
      </c>
      <c r="F51" s="15">
        <v>12.99</v>
      </c>
      <c r="G51" s="15">
        <v>12.99</v>
      </c>
      <c r="H51" s="7" t="s">
        <v>668</v>
      </c>
      <c r="I51" s="7" t="s">
        <v>669</v>
      </c>
      <c r="J51" s="7" t="s">
        <v>787</v>
      </c>
      <c r="K51" s="7" t="str">
        <f>HYPERLINK("http://slimages.macys.com/is/image/MCY/12926389 ")</f>
        <v xml:space="preserve">http://slimages.macys.com/is/image/MCY/12926389 </v>
      </c>
      <c r="L51" s="10"/>
    </row>
    <row r="52" spans="1:12" ht="20.100000000000001" customHeight="1" x14ac:dyDescent="0.25">
      <c r="A52" s="13" t="s">
        <v>160</v>
      </c>
      <c r="B52" s="14">
        <v>13814657</v>
      </c>
      <c r="C52" s="20">
        <v>96675639720</v>
      </c>
      <c r="D52" s="6" t="s">
        <v>907</v>
      </c>
      <c r="E52" s="19">
        <v>1</v>
      </c>
      <c r="F52" s="15">
        <v>12.99</v>
      </c>
      <c r="G52" s="15">
        <v>12.99</v>
      </c>
      <c r="H52" s="7" t="s">
        <v>668</v>
      </c>
      <c r="I52" s="7" t="s">
        <v>669</v>
      </c>
      <c r="J52" s="7" t="s">
        <v>787</v>
      </c>
      <c r="K52" s="7" t="str">
        <f>HYPERLINK("http://slimages.macys.com/is/image/MCY/12926389 ")</f>
        <v xml:space="preserve">http://slimages.macys.com/is/image/MCY/12926389 </v>
      </c>
      <c r="L52" s="10"/>
    </row>
    <row r="53" spans="1:12" ht="20.100000000000001" customHeight="1" x14ac:dyDescent="0.25">
      <c r="A53" s="13" t="s">
        <v>160</v>
      </c>
      <c r="B53" s="14">
        <v>13814657</v>
      </c>
      <c r="C53" s="20">
        <v>96675639775</v>
      </c>
      <c r="D53" s="6" t="s">
        <v>204</v>
      </c>
      <c r="E53" s="19">
        <v>1</v>
      </c>
      <c r="F53" s="15">
        <v>39.99</v>
      </c>
      <c r="G53" s="15">
        <v>39.99</v>
      </c>
      <c r="H53" s="7" t="s">
        <v>668</v>
      </c>
      <c r="I53" s="7" t="s">
        <v>669</v>
      </c>
      <c r="J53" s="7" t="s">
        <v>787</v>
      </c>
      <c r="K53" s="7" t="str">
        <f>HYPERLINK("http://slimages.macys.com/is/image/MCY/3201358 ")</f>
        <v xml:space="preserve">http://slimages.macys.com/is/image/MCY/3201358 </v>
      </c>
      <c r="L53" s="10"/>
    </row>
    <row r="54" spans="1:12" ht="20.100000000000001" customHeight="1" x14ac:dyDescent="0.25">
      <c r="A54" s="13" t="s">
        <v>160</v>
      </c>
      <c r="B54" s="14">
        <v>13814657</v>
      </c>
      <c r="C54" s="20">
        <v>96675641006</v>
      </c>
      <c r="D54" s="6" t="s">
        <v>205</v>
      </c>
      <c r="E54" s="19">
        <v>1</v>
      </c>
      <c r="F54" s="15">
        <v>31.99</v>
      </c>
      <c r="G54" s="15">
        <v>31.99</v>
      </c>
      <c r="H54" s="7" t="s">
        <v>668</v>
      </c>
      <c r="I54" s="7" t="s">
        <v>669</v>
      </c>
      <c r="J54" s="7" t="s">
        <v>787</v>
      </c>
      <c r="K54" s="7" t="str">
        <f>HYPERLINK("http://slimages.macys.com/is/image/MCY/13768152 ")</f>
        <v xml:space="preserve">http://slimages.macys.com/is/image/MCY/13768152 </v>
      </c>
      <c r="L54" s="10"/>
    </row>
    <row r="55" spans="1:12" ht="20.100000000000001" customHeight="1" x14ac:dyDescent="0.25">
      <c r="A55" s="13" t="s">
        <v>160</v>
      </c>
      <c r="B55" s="14">
        <v>13814657</v>
      </c>
      <c r="C55" s="20">
        <v>96675642126</v>
      </c>
      <c r="D55" s="6" t="s">
        <v>206</v>
      </c>
      <c r="E55" s="19">
        <v>1</v>
      </c>
      <c r="F55" s="15">
        <v>24.99</v>
      </c>
      <c r="G55" s="15">
        <v>24.99</v>
      </c>
      <c r="H55" s="7" t="s">
        <v>668</v>
      </c>
      <c r="I55" s="7" t="s">
        <v>669</v>
      </c>
      <c r="J55" s="7" t="s">
        <v>787</v>
      </c>
      <c r="K55" s="7" t="str">
        <f>HYPERLINK("http://slimages.macys.com/is/image/MCY/14724460 ")</f>
        <v xml:space="preserve">http://slimages.macys.com/is/image/MCY/14724460 </v>
      </c>
      <c r="L55" s="10"/>
    </row>
    <row r="56" spans="1:12" ht="20.100000000000001" customHeight="1" x14ac:dyDescent="0.25">
      <c r="A56" s="13" t="s">
        <v>160</v>
      </c>
      <c r="B56" s="14">
        <v>13814657</v>
      </c>
      <c r="C56" s="20">
        <v>96675807624</v>
      </c>
      <c r="D56" s="6" t="s">
        <v>846</v>
      </c>
      <c r="E56" s="19">
        <v>2</v>
      </c>
      <c r="F56" s="15">
        <v>44.99</v>
      </c>
      <c r="G56" s="15">
        <v>89.98</v>
      </c>
      <c r="H56" s="7" t="s">
        <v>668</v>
      </c>
      <c r="I56" s="7" t="s">
        <v>669</v>
      </c>
      <c r="J56" s="7" t="s">
        <v>787</v>
      </c>
      <c r="K56" s="7" t="str">
        <f>HYPERLINK("http://slimages.macys.com/is/image/MCY/3208067 ")</f>
        <v xml:space="preserve">http://slimages.macys.com/is/image/MCY/3208067 </v>
      </c>
      <c r="L56" s="10"/>
    </row>
    <row r="57" spans="1:12" ht="20.100000000000001" customHeight="1" x14ac:dyDescent="0.25">
      <c r="A57" s="13" t="s">
        <v>160</v>
      </c>
      <c r="B57" s="14">
        <v>13814657</v>
      </c>
      <c r="C57" s="20">
        <v>96675807624</v>
      </c>
      <c r="D57" s="6" t="s">
        <v>846</v>
      </c>
      <c r="E57" s="19">
        <v>1</v>
      </c>
      <c r="F57" s="15">
        <v>44.99</v>
      </c>
      <c r="G57" s="15">
        <v>44.99</v>
      </c>
      <c r="H57" s="7" t="s">
        <v>668</v>
      </c>
      <c r="I57" s="7" t="s">
        <v>669</v>
      </c>
      <c r="J57" s="7" t="s">
        <v>787</v>
      </c>
      <c r="K57" s="7" t="str">
        <f>HYPERLINK("http://slimages.macys.com/is/image/MCY/3208067 ")</f>
        <v xml:space="preserve">http://slimages.macys.com/is/image/MCY/3208067 </v>
      </c>
    </row>
    <row r="58" spans="1:12" ht="20.100000000000001" customHeight="1" x14ac:dyDescent="0.25">
      <c r="A58" s="13" t="s">
        <v>160</v>
      </c>
      <c r="B58" s="14">
        <v>13814657</v>
      </c>
      <c r="C58" s="20">
        <v>190733133813</v>
      </c>
      <c r="D58" s="6" t="s">
        <v>207</v>
      </c>
      <c r="E58" s="19">
        <v>1</v>
      </c>
      <c r="F58" s="15">
        <v>44.99</v>
      </c>
      <c r="G58" s="15">
        <v>44.99</v>
      </c>
      <c r="H58" s="7" t="s">
        <v>744</v>
      </c>
      <c r="I58" s="7" t="s">
        <v>752</v>
      </c>
      <c r="J58" s="7" t="s">
        <v>818</v>
      </c>
      <c r="K58" s="7" t="str">
        <f>HYPERLINK("http://slimages.macys.com/is/image/MCY/11336928 ")</f>
        <v xml:space="preserve">http://slimages.macys.com/is/image/MCY/11336928 </v>
      </c>
    </row>
    <row r="59" spans="1:12" ht="20.100000000000001" customHeight="1" x14ac:dyDescent="0.25">
      <c r="A59" s="13" t="s">
        <v>160</v>
      </c>
      <c r="B59" s="14">
        <v>13814657</v>
      </c>
      <c r="C59" s="20">
        <v>191790023444</v>
      </c>
      <c r="D59" s="6" t="s">
        <v>208</v>
      </c>
      <c r="E59" s="19">
        <v>2</v>
      </c>
      <c r="F59" s="15">
        <v>49.99</v>
      </c>
      <c r="G59" s="15">
        <v>99.98</v>
      </c>
      <c r="H59" s="7" t="s">
        <v>698</v>
      </c>
      <c r="I59" s="7" t="s">
        <v>666</v>
      </c>
      <c r="J59" s="7" t="s">
        <v>706</v>
      </c>
      <c r="K59" s="7" t="str">
        <f>HYPERLINK("http://slimages.macys.com/is/image/MCY/12658743 ")</f>
        <v xml:space="preserve">http://slimages.macys.com/is/image/MCY/12658743 </v>
      </c>
    </row>
    <row r="60" spans="1:12" ht="20.100000000000001" customHeight="1" x14ac:dyDescent="0.25">
      <c r="A60" s="13" t="s">
        <v>160</v>
      </c>
      <c r="B60" s="14">
        <v>13814657</v>
      </c>
      <c r="C60" s="20">
        <v>191790037540</v>
      </c>
      <c r="D60" s="6" t="s">
        <v>209</v>
      </c>
      <c r="E60" s="19">
        <v>1</v>
      </c>
      <c r="F60" s="15">
        <v>39.99</v>
      </c>
      <c r="G60" s="15">
        <v>39.99</v>
      </c>
      <c r="H60" s="7" t="s">
        <v>784</v>
      </c>
      <c r="I60" s="7" t="s">
        <v>666</v>
      </c>
      <c r="J60" s="7" t="s">
        <v>706</v>
      </c>
      <c r="K60" s="7" t="str">
        <f>HYPERLINK("http://slimages.macys.com/is/image/MCY/16524334 ")</f>
        <v xml:space="preserve">http://slimages.macys.com/is/image/MCY/16524334 </v>
      </c>
    </row>
    <row r="61" spans="1:12" ht="20.100000000000001" customHeight="1" x14ac:dyDescent="0.25">
      <c r="A61" s="13" t="s">
        <v>160</v>
      </c>
      <c r="B61" s="14">
        <v>13814657</v>
      </c>
      <c r="C61" s="20">
        <v>191790040823</v>
      </c>
      <c r="D61" s="6" t="s">
        <v>210</v>
      </c>
      <c r="E61" s="19">
        <v>1</v>
      </c>
      <c r="F61" s="15">
        <v>39.99</v>
      </c>
      <c r="G61" s="15">
        <v>39.99</v>
      </c>
      <c r="H61" s="7" t="s">
        <v>677</v>
      </c>
      <c r="I61" s="7" t="s">
        <v>666</v>
      </c>
      <c r="J61" s="7" t="s">
        <v>706</v>
      </c>
      <c r="K61" s="7" t="str">
        <f>HYPERLINK("http://slimages.macys.com/is/image/MCY/17968749 ")</f>
        <v xml:space="preserve">http://slimages.macys.com/is/image/MCY/17968749 </v>
      </c>
    </row>
    <row r="62" spans="1:12" ht="20.100000000000001" customHeight="1" x14ac:dyDescent="0.25">
      <c r="A62" s="13" t="s">
        <v>160</v>
      </c>
      <c r="B62" s="14">
        <v>13814657</v>
      </c>
      <c r="C62" s="20">
        <v>191790040984</v>
      </c>
      <c r="D62" s="6" t="s">
        <v>211</v>
      </c>
      <c r="E62" s="19">
        <v>1</v>
      </c>
      <c r="F62" s="15">
        <v>49.99</v>
      </c>
      <c r="G62" s="15">
        <v>49.99</v>
      </c>
      <c r="H62" s="7" t="s">
        <v>751</v>
      </c>
      <c r="I62" s="7" t="s">
        <v>666</v>
      </c>
      <c r="J62" s="7" t="s">
        <v>706</v>
      </c>
      <c r="K62" s="7" t="str">
        <f>HYPERLINK("http://slimages.macys.com/is/image/MCY/17968749 ")</f>
        <v xml:space="preserve">http://slimages.macys.com/is/image/MCY/17968749 </v>
      </c>
    </row>
    <row r="63" spans="1:12" ht="20.100000000000001" customHeight="1" x14ac:dyDescent="0.25">
      <c r="A63" s="13" t="s">
        <v>160</v>
      </c>
      <c r="B63" s="14">
        <v>13814657</v>
      </c>
      <c r="C63" s="20">
        <v>191790041080</v>
      </c>
      <c r="D63" s="6" t="s">
        <v>212</v>
      </c>
      <c r="E63" s="19">
        <v>1</v>
      </c>
      <c r="F63" s="15">
        <v>49.99</v>
      </c>
      <c r="G63" s="15">
        <v>49.99</v>
      </c>
      <c r="H63" s="7" t="s">
        <v>717</v>
      </c>
      <c r="I63" s="7" t="s">
        <v>666</v>
      </c>
      <c r="J63" s="7" t="s">
        <v>706</v>
      </c>
      <c r="K63" s="7" t="str">
        <f>HYPERLINK("http://slimages.macys.com/is/image/MCY/17968749 ")</f>
        <v xml:space="preserve">http://slimages.macys.com/is/image/MCY/17968749 </v>
      </c>
    </row>
    <row r="64" spans="1:12" ht="20.100000000000001" customHeight="1" x14ac:dyDescent="0.25">
      <c r="A64" s="13" t="s">
        <v>160</v>
      </c>
      <c r="B64" s="14">
        <v>13814657</v>
      </c>
      <c r="C64" s="20">
        <v>194938008273</v>
      </c>
      <c r="D64" s="6" t="s">
        <v>213</v>
      </c>
      <c r="E64" s="19">
        <v>1</v>
      </c>
      <c r="F64" s="15">
        <v>69.989999999999995</v>
      </c>
      <c r="G64" s="15">
        <v>69.989999999999995</v>
      </c>
      <c r="H64" s="7" t="s">
        <v>668</v>
      </c>
      <c r="I64" s="7" t="s">
        <v>674</v>
      </c>
      <c r="J64" s="7" t="s">
        <v>675</v>
      </c>
      <c r="K64" s="7" t="str">
        <f>HYPERLINK("http://slimages.macys.com/is/image/MCY/18112100 ")</f>
        <v xml:space="preserve">http://slimages.macys.com/is/image/MCY/18112100 </v>
      </c>
    </row>
    <row r="65" spans="1:11" ht="20.100000000000001" customHeight="1" x14ac:dyDescent="0.25">
      <c r="A65" s="13" t="s">
        <v>160</v>
      </c>
      <c r="B65" s="14">
        <v>13814657</v>
      </c>
      <c r="C65" s="20">
        <v>608381352086</v>
      </c>
      <c r="D65" s="6" t="s">
        <v>214</v>
      </c>
      <c r="E65" s="19">
        <v>4</v>
      </c>
      <c r="F65" s="15">
        <v>200</v>
      </c>
      <c r="G65" s="15">
        <v>800</v>
      </c>
      <c r="H65" s="7" t="s">
        <v>668</v>
      </c>
      <c r="I65" s="7" t="s">
        <v>741</v>
      </c>
      <c r="J65" s="7" t="s">
        <v>947</v>
      </c>
      <c r="K65" s="7" t="str">
        <f>HYPERLINK("http://images.bloomingdales.com/is/image/BLM/10151531 ")</f>
        <v xml:space="preserve">http://images.bloomingdales.com/is/image/BLM/10151531 </v>
      </c>
    </row>
    <row r="66" spans="1:11" ht="20.100000000000001" customHeight="1" x14ac:dyDescent="0.25">
      <c r="A66" s="13" t="s">
        <v>160</v>
      </c>
      <c r="B66" s="14">
        <v>13814657</v>
      </c>
      <c r="C66" s="20">
        <v>610406820906</v>
      </c>
      <c r="D66" s="6" t="s">
        <v>215</v>
      </c>
      <c r="E66" s="19">
        <v>2</v>
      </c>
      <c r="F66" s="15">
        <v>39.99</v>
      </c>
      <c r="G66" s="15">
        <v>79.98</v>
      </c>
      <c r="H66" s="7" t="s">
        <v>717</v>
      </c>
      <c r="I66" s="7" t="s">
        <v>674</v>
      </c>
      <c r="J66" s="7" t="s">
        <v>804</v>
      </c>
      <c r="K66" s="7" t="str">
        <f>HYPERLINK("http://slimages.macys.com/is/image/MCY/16368415 ")</f>
        <v xml:space="preserve">http://slimages.macys.com/is/image/MCY/16368415 </v>
      </c>
    </row>
    <row r="67" spans="1:11" ht="20.100000000000001" customHeight="1" x14ac:dyDescent="0.25">
      <c r="A67" s="13" t="s">
        <v>160</v>
      </c>
      <c r="B67" s="14">
        <v>13814657</v>
      </c>
      <c r="C67" s="20">
        <v>635983501628</v>
      </c>
      <c r="D67" s="6" t="s">
        <v>216</v>
      </c>
      <c r="E67" s="19">
        <v>1</v>
      </c>
      <c r="F67" s="15">
        <v>163.99</v>
      </c>
      <c r="G67" s="15">
        <v>163.99</v>
      </c>
      <c r="H67" s="7" t="s">
        <v>668</v>
      </c>
      <c r="I67" s="7" t="s">
        <v>669</v>
      </c>
      <c r="J67" s="7" t="s">
        <v>670</v>
      </c>
      <c r="K67" s="7" t="str">
        <f>HYPERLINK("http://slimages.macys.com/is/image/MCY/11798322 ")</f>
        <v xml:space="preserve">http://slimages.macys.com/is/image/MCY/11798322 </v>
      </c>
    </row>
    <row r="68" spans="1:11" ht="20.100000000000001" customHeight="1" x14ac:dyDescent="0.25">
      <c r="A68" s="13" t="s">
        <v>160</v>
      </c>
      <c r="B68" s="14">
        <v>13814657</v>
      </c>
      <c r="C68" s="20">
        <v>636202045367</v>
      </c>
      <c r="D68" s="6" t="s">
        <v>835</v>
      </c>
      <c r="E68" s="19">
        <v>1</v>
      </c>
      <c r="F68" s="15">
        <v>39.99</v>
      </c>
      <c r="G68" s="15">
        <v>39.99</v>
      </c>
      <c r="H68" s="7" t="s">
        <v>677</v>
      </c>
      <c r="I68" s="7" t="s">
        <v>694</v>
      </c>
      <c r="J68" s="7" t="s">
        <v>695</v>
      </c>
      <c r="K68" s="7" t="str">
        <f>HYPERLINK("http://slimages.macys.com/is/image/MCY/15098992 ")</f>
        <v xml:space="preserve">http://slimages.macys.com/is/image/MCY/15098992 </v>
      </c>
    </row>
    <row r="69" spans="1:11" ht="20.100000000000001" customHeight="1" x14ac:dyDescent="0.25">
      <c r="A69" s="13" t="s">
        <v>160</v>
      </c>
      <c r="B69" s="14">
        <v>13814657</v>
      </c>
      <c r="C69" s="20">
        <v>636206071829</v>
      </c>
      <c r="D69" s="6" t="s">
        <v>217</v>
      </c>
      <c r="E69" s="19">
        <v>1</v>
      </c>
      <c r="F69" s="15">
        <v>299.99</v>
      </c>
      <c r="G69" s="15">
        <v>299.99</v>
      </c>
      <c r="H69" s="7" t="s">
        <v>698</v>
      </c>
      <c r="I69" s="7" t="s">
        <v>680</v>
      </c>
      <c r="J69" s="7" t="s">
        <v>733</v>
      </c>
      <c r="K69" s="7" t="str">
        <f>HYPERLINK("http://slimages.macys.com/is/image/MCY/10467368 ")</f>
        <v xml:space="preserve">http://slimages.macys.com/is/image/MCY/10467368 </v>
      </c>
    </row>
    <row r="70" spans="1:11" ht="20.100000000000001" customHeight="1" x14ac:dyDescent="0.25">
      <c r="A70" s="13" t="s">
        <v>160</v>
      </c>
      <c r="B70" s="14">
        <v>13814657</v>
      </c>
      <c r="C70" s="20">
        <v>636206116971</v>
      </c>
      <c r="D70" s="6" t="s">
        <v>218</v>
      </c>
      <c r="E70" s="19">
        <v>1</v>
      </c>
      <c r="F70" s="15">
        <v>49.99</v>
      </c>
      <c r="G70" s="15">
        <v>49.99</v>
      </c>
      <c r="H70" s="7" t="s">
        <v>698</v>
      </c>
      <c r="I70" s="7" t="s">
        <v>836</v>
      </c>
      <c r="J70" s="7" t="s">
        <v>816</v>
      </c>
      <c r="K70" s="7" t="str">
        <f>HYPERLINK("http://slimages.macys.com/is/image/MCY/1412015 ")</f>
        <v xml:space="preserve">http://slimages.macys.com/is/image/MCY/1412015 </v>
      </c>
    </row>
    <row r="71" spans="1:11" ht="20.100000000000001" customHeight="1" x14ac:dyDescent="0.25">
      <c r="A71" s="13" t="s">
        <v>160</v>
      </c>
      <c r="B71" s="14">
        <v>13814657</v>
      </c>
      <c r="C71" s="20">
        <v>646760135011</v>
      </c>
      <c r="D71" s="6" t="s">
        <v>219</v>
      </c>
      <c r="E71" s="19">
        <v>1</v>
      </c>
      <c r="F71" s="15">
        <v>24.99</v>
      </c>
      <c r="G71" s="15">
        <v>24.99</v>
      </c>
      <c r="H71" s="7" t="s">
        <v>665</v>
      </c>
      <c r="I71" s="7" t="s">
        <v>674</v>
      </c>
      <c r="J71" s="7" t="s">
        <v>845</v>
      </c>
      <c r="K71" s="7" t="str">
        <f>HYPERLINK("http://slimages.macys.com/is/image/MCY/15798196 ")</f>
        <v xml:space="preserve">http://slimages.macys.com/is/image/MCY/15798196 </v>
      </c>
    </row>
    <row r="72" spans="1:11" ht="20.100000000000001" customHeight="1" x14ac:dyDescent="0.25">
      <c r="A72" s="13" t="s">
        <v>160</v>
      </c>
      <c r="B72" s="14">
        <v>13814657</v>
      </c>
      <c r="C72" s="20">
        <v>646760135783</v>
      </c>
      <c r="D72" s="6" t="s">
        <v>220</v>
      </c>
      <c r="E72" s="19">
        <v>1</v>
      </c>
      <c r="F72" s="15">
        <v>149.99</v>
      </c>
      <c r="G72" s="15">
        <v>149.99</v>
      </c>
      <c r="H72" s="7"/>
      <c r="I72" s="7" t="s">
        <v>723</v>
      </c>
      <c r="J72" s="7" t="s">
        <v>724</v>
      </c>
      <c r="K72" s="7" t="str">
        <f>HYPERLINK("http://slimages.macys.com/is/image/MCY/15800043 ")</f>
        <v xml:space="preserve">http://slimages.macys.com/is/image/MCY/15800043 </v>
      </c>
    </row>
    <row r="73" spans="1:11" ht="20.100000000000001" customHeight="1" x14ac:dyDescent="0.25">
      <c r="A73" s="13" t="s">
        <v>160</v>
      </c>
      <c r="B73" s="14">
        <v>13814657</v>
      </c>
      <c r="C73" s="20">
        <v>646760135813</v>
      </c>
      <c r="D73" s="6" t="s">
        <v>221</v>
      </c>
      <c r="E73" s="19">
        <v>1</v>
      </c>
      <c r="F73" s="15">
        <v>179.99</v>
      </c>
      <c r="G73" s="15">
        <v>179.99</v>
      </c>
      <c r="H73" s="7" t="s">
        <v>668</v>
      </c>
      <c r="I73" s="7" t="s">
        <v>723</v>
      </c>
      <c r="J73" s="7" t="s">
        <v>724</v>
      </c>
      <c r="K73" s="7" t="str">
        <f>HYPERLINK("http://slimages.macys.com/is/image/MCY/15798626 ")</f>
        <v xml:space="preserve">http://slimages.macys.com/is/image/MCY/15798626 </v>
      </c>
    </row>
    <row r="74" spans="1:11" ht="20.100000000000001" customHeight="1" x14ac:dyDescent="0.25">
      <c r="A74" s="13" t="s">
        <v>160</v>
      </c>
      <c r="B74" s="14">
        <v>13814657</v>
      </c>
      <c r="C74" s="20">
        <v>646998620327</v>
      </c>
      <c r="D74" s="6" t="s">
        <v>222</v>
      </c>
      <c r="E74" s="19">
        <v>2</v>
      </c>
      <c r="F74" s="15">
        <v>14.99</v>
      </c>
      <c r="G74" s="15">
        <v>29.98</v>
      </c>
      <c r="H74" s="7" t="s">
        <v>677</v>
      </c>
      <c r="I74" s="7" t="s">
        <v>674</v>
      </c>
      <c r="J74" s="7" t="s">
        <v>738</v>
      </c>
      <c r="K74" s="7" t="str">
        <f>HYPERLINK("http://slimages.macys.com/is/image/MCY/12295559 ")</f>
        <v xml:space="preserve">http://slimages.macys.com/is/image/MCY/12295559 </v>
      </c>
    </row>
    <row r="75" spans="1:11" ht="20.100000000000001" customHeight="1" x14ac:dyDescent="0.25">
      <c r="A75" s="13" t="s">
        <v>160</v>
      </c>
      <c r="B75" s="14">
        <v>13814657</v>
      </c>
      <c r="C75" s="20">
        <v>651355230446</v>
      </c>
      <c r="D75" s="6" t="s">
        <v>223</v>
      </c>
      <c r="E75" s="19">
        <v>1</v>
      </c>
      <c r="F75" s="15">
        <v>54.99</v>
      </c>
      <c r="G75" s="15">
        <v>54.99</v>
      </c>
      <c r="H75" s="7" t="s">
        <v>721</v>
      </c>
      <c r="I75" s="7" t="s">
        <v>674</v>
      </c>
      <c r="J75" s="7" t="s">
        <v>224</v>
      </c>
      <c r="K75" s="7" t="str">
        <f>HYPERLINK("http://slimages.macys.com/is/image/MCY/18983671 ")</f>
        <v xml:space="preserve">http://slimages.macys.com/is/image/MCY/18983671 </v>
      </c>
    </row>
    <row r="76" spans="1:11" ht="20.100000000000001" customHeight="1" x14ac:dyDescent="0.25">
      <c r="A76" s="13" t="s">
        <v>160</v>
      </c>
      <c r="B76" s="14">
        <v>13814657</v>
      </c>
      <c r="C76" s="20">
        <v>651896642852</v>
      </c>
      <c r="D76" s="6" t="s">
        <v>225</v>
      </c>
      <c r="E76" s="19">
        <v>2</v>
      </c>
      <c r="F76" s="15">
        <v>5.96</v>
      </c>
      <c r="G76" s="15">
        <v>11.92</v>
      </c>
      <c r="H76" s="7" t="s">
        <v>701</v>
      </c>
      <c r="I76" s="7" t="s">
        <v>674</v>
      </c>
      <c r="J76" s="7" t="s">
        <v>927</v>
      </c>
      <c r="K76" s="7" t="str">
        <f>HYPERLINK("http://slimages.macys.com/is/image/MCY/17620635 ")</f>
        <v xml:space="preserve">http://slimages.macys.com/is/image/MCY/17620635 </v>
      </c>
    </row>
    <row r="77" spans="1:11" ht="20.100000000000001" customHeight="1" x14ac:dyDescent="0.25">
      <c r="A77" s="13" t="s">
        <v>160</v>
      </c>
      <c r="B77" s="14">
        <v>13814657</v>
      </c>
      <c r="C77" s="20">
        <v>651896652127</v>
      </c>
      <c r="D77" s="6" t="s">
        <v>226</v>
      </c>
      <c r="E77" s="19">
        <v>1</v>
      </c>
      <c r="F77" s="15">
        <v>19.989999999999998</v>
      </c>
      <c r="G77" s="15">
        <v>19.989999999999998</v>
      </c>
      <c r="H77" s="7" t="s">
        <v>701</v>
      </c>
      <c r="I77" s="7" t="s">
        <v>674</v>
      </c>
      <c r="J77" s="7" t="s">
        <v>927</v>
      </c>
      <c r="K77" s="7" t="str">
        <f>HYPERLINK("http://slimages.macys.com/is/image/MCY/18772650 ")</f>
        <v xml:space="preserve">http://slimages.macys.com/is/image/MCY/18772650 </v>
      </c>
    </row>
    <row r="78" spans="1:11" ht="20.100000000000001" customHeight="1" x14ac:dyDescent="0.25">
      <c r="A78" s="13" t="s">
        <v>160</v>
      </c>
      <c r="B78" s="14">
        <v>13814657</v>
      </c>
      <c r="C78" s="20">
        <v>651896652219</v>
      </c>
      <c r="D78" s="6" t="s">
        <v>227</v>
      </c>
      <c r="E78" s="19">
        <v>2</v>
      </c>
      <c r="F78" s="15">
        <v>24.99</v>
      </c>
      <c r="G78" s="15">
        <v>49.98</v>
      </c>
      <c r="H78" s="7" t="s">
        <v>745</v>
      </c>
      <c r="I78" s="7" t="s">
        <v>674</v>
      </c>
      <c r="J78" s="7" t="s">
        <v>927</v>
      </c>
      <c r="K78" s="7" t="str">
        <f>HYPERLINK("http://slimages.macys.com/is/image/MCY/18772609 ")</f>
        <v xml:space="preserve">http://slimages.macys.com/is/image/MCY/18772609 </v>
      </c>
    </row>
    <row r="79" spans="1:11" ht="20.100000000000001" customHeight="1" x14ac:dyDescent="0.25">
      <c r="A79" s="13" t="s">
        <v>160</v>
      </c>
      <c r="B79" s="14">
        <v>13814657</v>
      </c>
      <c r="C79" s="20">
        <v>651896652219</v>
      </c>
      <c r="D79" s="6" t="s">
        <v>227</v>
      </c>
      <c r="E79" s="19">
        <v>1</v>
      </c>
      <c r="F79" s="15">
        <v>24.99</v>
      </c>
      <c r="G79" s="15">
        <v>24.99</v>
      </c>
      <c r="H79" s="7" t="s">
        <v>745</v>
      </c>
      <c r="I79" s="7" t="s">
        <v>674</v>
      </c>
      <c r="J79" s="7" t="s">
        <v>927</v>
      </c>
      <c r="K79" s="7" t="str">
        <f>HYPERLINK("http://slimages.macys.com/is/image/MCY/18772609 ")</f>
        <v xml:space="preserve">http://slimages.macys.com/is/image/MCY/18772609 </v>
      </c>
    </row>
    <row r="80" spans="1:11" ht="20.100000000000001" customHeight="1" x14ac:dyDescent="0.25">
      <c r="A80" s="13" t="s">
        <v>160</v>
      </c>
      <c r="B80" s="14">
        <v>13814657</v>
      </c>
      <c r="C80" s="20">
        <v>651896655272</v>
      </c>
      <c r="D80" s="6" t="s">
        <v>228</v>
      </c>
      <c r="E80" s="19">
        <v>1</v>
      </c>
      <c r="F80" s="15">
        <v>29.99</v>
      </c>
      <c r="G80" s="15">
        <v>29.99</v>
      </c>
      <c r="H80" s="7" t="s">
        <v>754</v>
      </c>
      <c r="I80" s="7" t="s">
        <v>674</v>
      </c>
      <c r="J80" s="7" t="s">
        <v>927</v>
      </c>
      <c r="K80" s="7" t="str">
        <f>HYPERLINK("http://slimages.macys.com/is/image/MCY/19530851 ")</f>
        <v xml:space="preserve">http://slimages.macys.com/is/image/MCY/19530851 </v>
      </c>
    </row>
    <row r="81" spans="1:11" ht="20.100000000000001" customHeight="1" x14ac:dyDescent="0.25">
      <c r="A81" s="13" t="s">
        <v>160</v>
      </c>
      <c r="B81" s="14">
        <v>13814657</v>
      </c>
      <c r="C81" s="20">
        <v>651896655272</v>
      </c>
      <c r="D81" s="6" t="s">
        <v>228</v>
      </c>
      <c r="E81" s="19">
        <v>1</v>
      </c>
      <c r="F81" s="15">
        <v>29.99</v>
      </c>
      <c r="G81" s="15">
        <v>29.99</v>
      </c>
      <c r="H81" s="7" t="s">
        <v>754</v>
      </c>
      <c r="I81" s="7" t="s">
        <v>674</v>
      </c>
      <c r="J81" s="7" t="s">
        <v>927</v>
      </c>
      <c r="K81" s="7" t="str">
        <f>HYPERLINK("http://slimages.macys.com/is/image/MCY/19530851 ")</f>
        <v xml:space="preserve">http://slimages.macys.com/is/image/MCY/19530851 </v>
      </c>
    </row>
    <row r="82" spans="1:11" ht="20.100000000000001" customHeight="1" x14ac:dyDescent="0.25">
      <c r="A82" s="13" t="s">
        <v>160</v>
      </c>
      <c r="B82" s="14">
        <v>13814657</v>
      </c>
      <c r="C82" s="20">
        <v>655385240550</v>
      </c>
      <c r="D82" s="6" t="s">
        <v>229</v>
      </c>
      <c r="E82" s="19">
        <v>1</v>
      </c>
      <c r="F82" s="15">
        <v>48.99</v>
      </c>
      <c r="G82" s="15">
        <v>48.99</v>
      </c>
      <c r="H82" s="7" t="s">
        <v>707</v>
      </c>
      <c r="I82" s="7" t="s">
        <v>684</v>
      </c>
      <c r="J82" s="7" t="s">
        <v>687</v>
      </c>
      <c r="K82" s="7" t="str">
        <f>HYPERLINK("http://slimages.macys.com/is/image/MCY/15664014 ")</f>
        <v xml:space="preserve">http://slimages.macys.com/is/image/MCY/15664014 </v>
      </c>
    </row>
    <row r="83" spans="1:11" ht="20.100000000000001" customHeight="1" x14ac:dyDescent="0.25">
      <c r="A83" s="13" t="s">
        <v>160</v>
      </c>
      <c r="B83" s="14">
        <v>13814657</v>
      </c>
      <c r="C83" s="20">
        <v>671826629012</v>
      </c>
      <c r="D83" s="6" t="s">
        <v>230</v>
      </c>
      <c r="E83" s="19">
        <v>1</v>
      </c>
      <c r="F83" s="15">
        <v>64.989999999999995</v>
      </c>
      <c r="G83" s="15">
        <v>64.989999999999995</v>
      </c>
      <c r="H83" s="7" t="s">
        <v>754</v>
      </c>
      <c r="I83" s="7" t="s">
        <v>674</v>
      </c>
      <c r="J83" s="7" t="s">
        <v>819</v>
      </c>
      <c r="K83" s="7" t="str">
        <f>HYPERLINK("http://slimages.macys.com/is/image/MCY/12305179 ")</f>
        <v xml:space="preserve">http://slimages.macys.com/is/image/MCY/12305179 </v>
      </c>
    </row>
    <row r="84" spans="1:11" ht="20.100000000000001" customHeight="1" x14ac:dyDescent="0.25">
      <c r="A84" s="13" t="s">
        <v>160</v>
      </c>
      <c r="B84" s="14">
        <v>13814657</v>
      </c>
      <c r="C84" s="20">
        <v>675716320621</v>
      </c>
      <c r="D84" s="6" t="s">
        <v>231</v>
      </c>
      <c r="E84" s="19">
        <v>1</v>
      </c>
      <c r="F84" s="15">
        <v>77.989999999999995</v>
      </c>
      <c r="G84" s="15">
        <v>77.989999999999995</v>
      </c>
      <c r="H84" s="7" t="s">
        <v>768</v>
      </c>
      <c r="I84" s="7" t="s">
        <v>674</v>
      </c>
      <c r="J84" s="7" t="s">
        <v>679</v>
      </c>
      <c r="K84" s="7" t="str">
        <f>HYPERLINK("http://slimages.macys.com/is/image/MCY/12291966 ")</f>
        <v xml:space="preserve">http://slimages.macys.com/is/image/MCY/12291966 </v>
      </c>
    </row>
    <row r="85" spans="1:11" ht="20.100000000000001" customHeight="1" x14ac:dyDescent="0.25">
      <c r="A85" s="13" t="s">
        <v>160</v>
      </c>
      <c r="B85" s="14">
        <v>13814657</v>
      </c>
      <c r="C85" s="20">
        <v>675716455651</v>
      </c>
      <c r="D85" s="6" t="s">
        <v>232</v>
      </c>
      <c r="E85" s="19">
        <v>1</v>
      </c>
      <c r="F85" s="15">
        <v>38.99</v>
      </c>
      <c r="G85" s="15">
        <v>38.99</v>
      </c>
      <c r="H85" s="7" t="s">
        <v>668</v>
      </c>
      <c r="I85" s="7" t="s">
        <v>674</v>
      </c>
      <c r="J85" s="7" t="s">
        <v>679</v>
      </c>
      <c r="K85" s="7" t="str">
        <f>HYPERLINK("http://slimages.macys.com/is/image/MCY/8216566 ")</f>
        <v xml:space="preserve">http://slimages.macys.com/is/image/MCY/8216566 </v>
      </c>
    </row>
    <row r="86" spans="1:11" ht="20.100000000000001" customHeight="1" x14ac:dyDescent="0.25">
      <c r="A86" s="13" t="s">
        <v>160</v>
      </c>
      <c r="B86" s="14">
        <v>13814657</v>
      </c>
      <c r="C86" s="20">
        <v>675716504519</v>
      </c>
      <c r="D86" s="6" t="s">
        <v>233</v>
      </c>
      <c r="E86" s="19">
        <v>1</v>
      </c>
      <c r="F86" s="15">
        <v>285.99</v>
      </c>
      <c r="G86" s="15">
        <v>285.99</v>
      </c>
      <c r="H86" s="7" t="s">
        <v>668</v>
      </c>
      <c r="I86" s="7" t="s">
        <v>689</v>
      </c>
      <c r="J86" s="7" t="s">
        <v>234</v>
      </c>
      <c r="K86" s="7" t="str">
        <f>HYPERLINK("http://slimages.macys.com/is/image/MCY/9000564 ")</f>
        <v xml:space="preserve">http://slimages.macys.com/is/image/MCY/9000564 </v>
      </c>
    </row>
    <row r="87" spans="1:11" ht="20.100000000000001" customHeight="1" x14ac:dyDescent="0.25">
      <c r="A87" s="13" t="s">
        <v>160</v>
      </c>
      <c r="B87" s="14">
        <v>13814657</v>
      </c>
      <c r="C87" s="20">
        <v>675716504564</v>
      </c>
      <c r="D87" s="6" t="s">
        <v>235</v>
      </c>
      <c r="E87" s="19">
        <v>1</v>
      </c>
      <c r="F87" s="15">
        <v>34.99</v>
      </c>
      <c r="G87" s="15">
        <v>34.99</v>
      </c>
      <c r="H87" s="7" t="s">
        <v>676</v>
      </c>
      <c r="I87" s="7" t="s">
        <v>689</v>
      </c>
      <c r="J87" s="7" t="s">
        <v>234</v>
      </c>
      <c r="K87" s="7" t="str">
        <f>HYPERLINK("http://slimages.macys.com/is/image/MCY/8984919 ")</f>
        <v xml:space="preserve">http://slimages.macys.com/is/image/MCY/8984919 </v>
      </c>
    </row>
    <row r="88" spans="1:11" ht="20.100000000000001" customHeight="1" x14ac:dyDescent="0.25">
      <c r="A88" s="13" t="s">
        <v>160</v>
      </c>
      <c r="B88" s="14">
        <v>13814657</v>
      </c>
      <c r="C88" s="20">
        <v>675716526207</v>
      </c>
      <c r="D88" s="6" t="s">
        <v>236</v>
      </c>
      <c r="E88" s="19">
        <v>1</v>
      </c>
      <c r="F88" s="15">
        <v>26.99</v>
      </c>
      <c r="G88" s="15">
        <v>26.99</v>
      </c>
      <c r="H88" s="7" t="s">
        <v>784</v>
      </c>
      <c r="I88" s="7" t="s">
        <v>666</v>
      </c>
      <c r="J88" s="7" t="s">
        <v>756</v>
      </c>
      <c r="K88" s="7" t="str">
        <f>HYPERLINK("http://slimages.macys.com/is/image/MCY/10284317 ")</f>
        <v xml:space="preserve">http://slimages.macys.com/is/image/MCY/10284317 </v>
      </c>
    </row>
    <row r="89" spans="1:11" ht="20.100000000000001" customHeight="1" x14ac:dyDescent="0.25">
      <c r="A89" s="13" t="s">
        <v>160</v>
      </c>
      <c r="B89" s="14">
        <v>13814657</v>
      </c>
      <c r="C89" s="20">
        <v>675716556198</v>
      </c>
      <c r="D89" s="6" t="s">
        <v>237</v>
      </c>
      <c r="E89" s="19">
        <v>1</v>
      </c>
      <c r="F89" s="15">
        <v>79.989999999999995</v>
      </c>
      <c r="G89" s="15">
        <v>79.989999999999995</v>
      </c>
      <c r="H89" s="7" t="s">
        <v>919</v>
      </c>
      <c r="I89" s="7" t="s">
        <v>1294</v>
      </c>
      <c r="J89" s="7" t="s">
        <v>815</v>
      </c>
      <c r="K89" s="7" t="str">
        <f>HYPERLINK("http://slimages.macys.com/is/image/MCY/8939359 ")</f>
        <v xml:space="preserve">http://slimages.macys.com/is/image/MCY/8939359 </v>
      </c>
    </row>
    <row r="90" spans="1:11" ht="20.100000000000001" customHeight="1" x14ac:dyDescent="0.25">
      <c r="A90" s="13" t="s">
        <v>160</v>
      </c>
      <c r="B90" s="14">
        <v>13814657</v>
      </c>
      <c r="C90" s="20">
        <v>675716585549</v>
      </c>
      <c r="D90" s="6" t="s">
        <v>238</v>
      </c>
      <c r="E90" s="19">
        <v>1</v>
      </c>
      <c r="F90" s="15">
        <v>77.989999999999995</v>
      </c>
      <c r="G90" s="15">
        <v>77.989999999999995</v>
      </c>
      <c r="H90" s="7" t="s">
        <v>668</v>
      </c>
      <c r="I90" s="7" t="s">
        <v>674</v>
      </c>
      <c r="J90" s="7" t="s">
        <v>679</v>
      </c>
      <c r="K90" s="7" t="str">
        <f>HYPERLINK("http://slimages.macys.com/is/image/MCY/12291966 ")</f>
        <v xml:space="preserve">http://slimages.macys.com/is/image/MCY/12291966 </v>
      </c>
    </row>
    <row r="91" spans="1:11" ht="20.100000000000001" customHeight="1" x14ac:dyDescent="0.25">
      <c r="A91" s="13" t="s">
        <v>160</v>
      </c>
      <c r="B91" s="14">
        <v>13814657</v>
      </c>
      <c r="C91" s="20">
        <v>675716586119</v>
      </c>
      <c r="D91" s="6" t="s">
        <v>239</v>
      </c>
      <c r="E91" s="19">
        <v>1</v>
      </c>
      <c r="F91" s="15">
        <v>24.99</v>
      </c>
      <c r="G91" s="15">
        <v>24.99</v>
      </c>
      <c r="H91" s="7" t="s">
        <v>677</v>
      </c>
      <c r="I91" s="7" t="s">
        <v>736</v>
      </c>
      <c r="J91" s="7" t="s">
        <v>832</v>
      </c>
      <c r="K91" s="7" t="str">
        <f>HYPERLINK("http://slimages.macys.com/is/image/MCY/2861128 ")</f>
        <v xml:space="preserve">http://slimages.macys.com/is/image/MCY/2861128 </v>
      </c>
    </row>
    <row r="92" spans="1:11" ht="20.100000000000001" customHeight="1" x14ac:dyDescent="0.25">
      <c r="A92" s="13" t="s">
        <v>160</v>
      </c>
      <c r="B92" s="14">
        <v>13814657</v>
      </c>
      <c r="C92" s="20">
        <v>675716779993</v>
      </c>
      <c r="D92" s="6" t="s">
        <v>240</v>
      </c>
      <c r="E92" s="19">
        <v>1</v>
      </c>
      <c r="F92" s="15">
        <v>19.989999999999998</v>
      </c>
      <c r="G92" s="15">
        <v>19.989999999999998</v>
      </c>
      <c r="H92" s="7" t="s">
        <v>744</v>
      </c>
      <c r="I92" s="7" t="s">
        <v>904</v>
      </c>
      <c r="J92" s="7" t="s">
        <v>871</v>
      </c>
      <c r="K92" s="7" t="str">
        <f>HYPERLINK("http://slimages.macys.com/is/image/MCY/16143901 ")</f>
        <v xml:space="preserve">http://slimages.macys.com/is/image/MCY/16143901 </v>
      </c>
    </row>
    <row r="93" spans="1:11" ht="20.100000000000001" customHeight="1" x14ac:dyDescent="0.25">
      <c r="A93" s="13" t="s">
        <v>160</v>
      </c>
      <c r="B93" s="14">
        <v>13814657</v>
      </c>
      <c r="C93" s="20">
        <v>675716842321</v>
      </c>
      <c r="D93" s="6" t="s">
        <v>241</v>
      </c>
      <c r="E93" s="19">
        <v>1</v>
      </c>
      <c r="F93" s="15">
        <v>39.99</v>
      </c>
      <c r="G93" s="15">
        <v>39.99</v>
      </c>
      <c r="H93" s="7" t="s">
        <v>784</v>
      </c>
      <c r="I93" s="7" t="s">
        <v>666</v>
      </c>
      <c r="J93" s="7" t="s">
        <v>756</v>
      </c>
      <c r="K93" s="7" t="str">
        <f>HYPERLINK("http://slimages.macys.com/is/image/MCY/10284370 ")</f>
        <v xml:space="preserve">http://slimages.macys.com/is/image/MCY/10284370 </v>
      </c>
    </row>
    <row r="94" spans="1:11" ht="20.100000000000001" customHeight="1" x14ac:dyDescent="0.25">
      <c r="A94" s="13" t="s">
        <v>160</v>
      </c>
      <c r="B94" s="14">
        <v>13814657</v>
      </c>
      <c r="C94" s="20">
        <v>675716939618</v>
      </c>
      <c r="D94" s="6" t="s">
        <v>242</v>
      </c>
      <c r="E94" s="19">
        <v>1</v>
      </c>
      <c r="F94" s="15">
        <v>40.99</v>
      </c>
      <c r="G94" s="15">
        <v>40.99</v>
      </c>
      <c r="H94" s="7" t="s">
        <v>671</v>
      </c>
      <c r="I94" s="7" t="s">
        <v>666</v>
      </c>
      <c r="J94" s="7" t="s">
        <v>756</v>
      </c>
      <c r="K94" s="7" t="str">
        <f>HYPERLINK("http://slimages.macys.com/is/image/MCY/10284422 ")</f>
        <v xml:space="preserve">http://slimages.macys.com/is/image/MCY/10284422 </v>
      </c>
    </row>
    <row r="95" spans="1:11" ht="20.100000000000001" customHeight="1" x14ac:dyDescent="0.25">
      <c r="A95" s="13" t="s">
        <v>160</v>
      </c>
      <c r="B95" s="14">
        <v>13814657</v>
      </c>
      <c r="C95" s="20">
        <v>675716957391</v>
      </c>
      <c r="D95" s="6" t="s">
        <v>243</v>
      </c>
      <c r="E95" s="19">
        <v>1</v>
      </c>
      <c r="F95" s="15">
        <v>169.99</v>
      </c>
      <c r="G95" s="15">
        <v>169.99</v>
      </c>
      <c r="H95" s="7" t="s">
        <v>676</v>
      </c>
      <c r="I95" s="7" t="s">
        <v>672</v>
      </c>
      <c r="J95" s="7" t="s">
        <v>679</v>
      </c>
      <c r="K95" s="7" t="str">
        <f>HYPERLINK("http://slimages.macys.com/is/image/MCY/9627844 ")</f>
        <v xml:space="preserve">http://slimages.macys.com/is/image/MCY/9627844 </v>
      </c>
    </row>
    <row r="96" spans="1:11" ht="20.100000000000001" customHeight="1" x14ac:dyDescent="0.25">
      <c r="A96" s="13" t="s">
        <v>160</v>
      </c>
      <c r="B96" s="14">
        <v>13814657</v>
      </c>
      <c r="C96" s="20">
        <v>679610808377</v>
      </c>
      <c r="D96" s="6" t="s">
        <v>1082</v>
      </c>
      <c r="E96" s="19">
        <v>1</v>
      </c>
      <c r="F96" s="15">
        <v>179.99</v>
      </c>
      <c r="G96" s="15">
        <v>179.99</v>
      </c>
      <c r="H96" s="7" t="s">
        <v>749</v>
      </c>
      <c r="I96" s="7" t="s">
        <v>672</v>
      </c>
      <c r="J96" s="7" t="s">
        <v>774</v>
      </c>
      <c r="K96" s="7" t="str">
        <f>HYPERLINK("http://slimages.macys.com/is/image/MCY/14826453 ")</f>
        <v xml:space="preserve">http://slimages.macys.com/is/image/MCY/14826453 </v>
      </c>
    </row>
    <row r="97" spans="1:11" ht="20.100000000000001" customHeight="1" x14ac:dyDescent="0.25">
      <c r="A97" s="13" t="s">
        <v>160</v>
      </c>
      <c r="B97" s="14">
        <v>13814657</v>
      </c>
      <c r="C97" s="20">
        <v>679610822823</v>
      </c>
      <c r="D97" s="6" t="s">
        <v>244</v>
      </c>
      <c r="E97" s="19">
        <v>1</v>
      </c>
      <c r="F97" s="15">
        <v>59.99</v>
      </c>
      <c r="G97" s="15">
        <v>59.99</v>
      </c>
      <c r="H97" s="7" t="s">
        <v>807</v>
      </c>
      <c r="I97" s="7" t="s">
        <v>672</v>
      </c>
      <c r="J97" s="7" t="s">
        <v>774</v>
      </c>
      <c r="K97" s="7" t="str">
        <f>HYPERLINK("http://slimages.macys.com/is/image/MCY/17874041 ")</f>
        <v xml:space="preserve">http://slimages.macys.com/is/image/MCY/17874041 </v>
      </c>
    </row>
    <row r="98" spans="1:11" ht="20.100000000000001" customHeight="1" x14ac:dyDescent="0.25">
      <c r="A98" s="13" t="s">
        <v>160</v>
      </c>
      <c r="B98" s="14">
        <v>13814657</v>
      </c>
      <c r="C98" s="20">
        <v>679610822830</v>
      </c>
      <c r="D98" s="6" t="s">
        <v>1083</v>
      </c>
      <c r="E98" s="19">
        <v>1</v>
      </c>
      <c r="F98" s="15">
        <v>59.99</v>
      </c>
      <c r="G98" s="15">
        <v>59.99</v>
      </c>
      <c r="H98" s="7" t="s">
        <v>807</v>
      </c>
      <c r="I98" s="7" t="s">
        <v>672</v>
      </c>
      <c r="J98" s="7" t="s">
        <v>774</v>
      </c>
      <c r="K98" s="7" t="str">
        <f>HYPERLINK("http://slimages.macys.com/is/image/MCY/17873992 ")</f>
        <v xml:space="preserve">http://slimages.macys.com/is/image/MCY/17873992 </v>
      </c>
    </row>
    <row r="99" spans="1:11" ht="20.100000000000001" customHeight="1" x14ac:dyDescent="0.25">
      <c r="A99" s="13" t="s">
        <v>160</v>
      </c>
      <c r="B99" s="14">
        <v>13814657</v>
      </c>
      <c r="C99" s="20">
        <v>679610822830</v>
      </c>
      <c r="D99" s="6" t="s">
        <v>1083</v>
      </c>
      <c r="E99" s="19">
        <v>1</v>
      </c>
      <c r="F99" s="15">
        <v>59.99</v>
      </c>
      <c r="G99" s="15">
        <v>59.99</v>
      </c>
      <c r="H99" s="7" t="s">
        <v>807</v>
      </c>
      <c r="I99" s="7" t="s">
        <v>672</v>
      </c>
      <c r="J99" s="7" t="s">
        <v>774</v>
      </c>
      <c r="K99" s="7" t="str">
        <f>HYPERLINK("http://slimages.macys.com/is/image/MCY/17873992 ")</f>
        <v xml:space="preserve">http://slimages.macys.com/is/image/MCY/17873992 </v>
      </c>
    </row>
    <row r="100" spans="1:11" ht="20.100000000000001" customHeight="1" x14ac:dyDescent="0.25">
      <c r="A100" s="13" t="s">
        <v>160</v>
      </c>
      <c r="B100" s="14">
        <v>13814657</v>
      </c>
      <c r="C100" s="20">
        <v>679610834062</v>
      </c>
      <c r="D100" s="6" t="s">
        <v>245</v>
      </c>
      <c r="E100" s="19">
        <v>1</v>
      </c>
      <c r="F100" s="15">
        <v>29.99</v>
      </c>
      <c r="G100" s="15">
        <v>29.99</v>
      </c>
      <c r="H100" s="7" t="s">
        <v>677</v>
      </c>
      <c r="I100" s="7" t="s">
        <v>672</v>
      </c>
      <c r="J100" s="7" t="s">
        <v>774</v>
      </c>
      <c r="K100" s="7" t="str">
        <f>HYPERLINK("http://slimages.macys.com/is/image/MCY/18865290 ")</f>
        <v xml:space="preserve">http://slimages.macys.com/is/image/MCY/18865290 </v>
      </c>
    </row>
    <row r="101" spans="1:11" ht="20.100000000000001" customHeight="1" x14ac:dyDescent="0.25">
      <c r="A101" s="13" t="s">
        <v>160</v>
      </c>
      <c r="B101" s="14">
        <v>13814657</v>
      </c>
      <c r="C101" s="20">
        <v>679610834161</v>
      </c>
      <c r="D101" s="6" t="s">
        <v>881</v>
      </c>
      <c r="E101" s="19">
        <v>1</v>
      </c>
      <c r="F101" s="15">
        <v>49.99</v>
      </c>
      <c r="G101" s="15">
        <v>49.99</v>
      </c>
      <c r="H101" s="7" t="s">
        <v>686</v>
      </c>
      <c r="I101" s="7" t="s">
        <v>672</v>
      </c>
      <c r="J101" s="7" t="s">
        <v>774</v>
      </c>
      <c r="K101" s="7" t="str">
        <f>HYPERLINK("http://slimages.macys.com/is/image/MCY/18868320 ")</f>
        <v xml:space="preserve">http://slimages.macys.com/is/image/MCY/18868320 </v>
      </c>
    </row>
    <row r="102" spans="1:11" ht="20.100000000000001" customHeight="1" x14ac:dyDescent="0.25">
      <c r="A102" s="13" t="s">
        <v>160</v>
      </c>
      <c r="B102" s="14">
        <v>13814657</v>
      </c>
      <c r="C102" s="20">
        <v>679610834451</v>
      </c>
      <c r="D102" s="6" t="s">
        <v>875</v>
      </c>
      <c r="E102" s="19">
        <v>1</v>
      </c>
      <c r="F102" s="15">
        <v>49.99</v>
      </c>
      <c r="G102" s="15">
        <v>49.99</v>
      </c>
      <c r="H102" s="7" t="s">
        <v>691</v>
      </c>
      <c r="I102" s="7" t="s">
        <v>672</v>
      </c>
      <c r="J102" s="7" t="s">
        <v>774</v>
      </c>
      <c r="K102" s="7" t="str">
        <f>HYPERLINK("http://slimages.macys.com/is/image/MCY/18742999 ")</f>
        <v xml:space="preserve">http://slimages.macys.com/is/image/MCY/18742999 </v>
      </c>
    </row>
    <row r="103" spans="1:11" ht="20.100000000000001" customHeight="1" x14ac:dyDescent="0.25">
      <c r="A103" s="13" t="s">
        <v>160</v>
      </c>
      <c r="B103" s="14">
        <v>13814657</v>
      </c>
      <c r="C103" s="20">
        <v>679610834505</v>
      </c>
      <c r="D103" s="6" t="s">
        <v>246</v>
      </c>
      <c r="E103" s="19">
        <v>1</v>
      </c>
      <c r="F103" s="15">
        <v>179.99</v>
      </c>
      <c r="G103" s="15">
        <v>179.99</v>
      </c>
      <c r="H103" s="7" t="s">
        <v>754</v>
      </c>
      <c r="I103" s="7" t="s">
        <v>672</v>
      </c>
      <c r="J103" s="7" t="s">
        <v>774</v>
      </c>
      <c r="K103" s="7" t="str">
        <f>HYPERLINK("http://slimages.macys.com/is/image/MCY/18729353 ")</f>
        <v xml:space="preserve">http://slimages.macys.com/is/image/MCY/18729353 </v>
      </c>
    </row>
    <row r="104" spans="1:11" ht="20.100000000000001" customHeight="1" x14ac:dyDescent="0.25">
      <c r="A104" s="13" t="s">
        <v>160</v>
      </c>
      <c r="B104" s="14">
        <v>13814657</v>
      </c>
      <c r="C104" s="20">
        <v>679610834697</v>
      </c>
      <c r="D104" s="6" t="s">
        <v>247</v>
      </c>
      <c r="E104" s="19">
        <v>1</v>
      </c>
      <c r="F104" s="15">
        <v>109.99</v>
      </c>
      <c r="G104" s="15">
        <v>109.99</v>
      </c>
      <c r="H104" s="7" t="s">
        <v>676</v>
      </c>
      <c r="I104" s="7" t="s">
        <v>672</v>
      </c>
      <c r="J104" s="7" t="s">
        <v>774</v>
      </c>
      <c r="K104" s="7" t="str">
        <f>HYPERLINK("http://slimages.macys.com/is/image/MCY/18728123 ")</f>
        <v xml:space="preserve">http://slimages.macys.com/is/image/MCY/18728123 </v>
      </c>
    </row>
    <row r="105" spans="1:11" ht="20.100000000000001" customHeight="1" x14ac:dyDescent="0.25">
      <c r="A105" s="13" t="s">
        <v>160</v>
      </c>
      <c r="B105" s="14">
        <v>13814657</v>
      </c>
      <c r="C105" s="20">
        <v>679610834734</v>
      </c>
      <c r="D105" s="6" t="s">
        <v>949</v>
      </c>
      <c r="E105" s="19">
        <v>2</v>
      </c>
      <c r="F105" s="15">
        <v>59.99</v>
      </c>
      <c r="G105" s="15">
        <v>119.98</v>
      </c>
      <c r="H105" s="7" t="s">
        <v>773</v>
      </c>
      <c r="I105" s="7" t="s">
        <v>672</v>
      </c>
      <c r="J105" s="7" t="s">
        <v>774</v>
      </c>
      <c r="K105" s="7" t="str">
        <f>HYPERLINK("http://slimages.macys.com/is/image/MCY/18742446 ")</f>
        <v xml:space="preserve">http://slimages.macys.com/is/image/MCY/18742446 </v>
      </c>
    </row>
    <row r="106" spans="1:11" ht="20.100000000000001" customHeight="1" x14ac:dyDescent="0.25">
      <c r="A106" s="13" t="s">
        <v>160</v>
      </c>
      <c r="B106" s="14">
        <v>13814657</v>
      </c>
      <c r="C106" s="20">
        <v>679610834765</v>
      </c>
      <c r="D106" s="6" t="s">
        <v>248</v>
      </c>
      <c r="E106" s="19">
        <v>1</v>
      </c>
      <c r="F106" s="15">
        <v>59.99</v>
      </c>
      <c r="G106" s="15">
        <v>59.99</v>
      </c>
      <c r="H106" s="7" t="s">
        <v>773</v>
      </c>
      <c r="I106" s="7" t="s">
        <v>672</v>
      </c>
      <c r="J106" s="7" t="s">
        <v>774</v>
      </c>
      <c r="K106" s="7" t="str">
        <f>HYPERLINK("http://slimages.macys.com/is/image/MCY/18742506 ")</f>
        <v xml:space="preserve">http://slimages.macys.com/is/image/MCY/18742506 </v>
      </c>
    </row>
    <row r="107" spans="1:11" ht="20.100000000000001" customHeight="1" x14ac:dyDescent="0.25">
      <c r="A107" s="13" t="s">
        <v>160</v>
      </c>
      <c r="B107" s="14">
        <v>13814657</v>
      </c>
      <c r="C107" s="20">
        <v>679610834833</v>
      </c>
      <c r="D107" s="6" t="s">
        <v>249</v>
      </c>
      <c r="E107" s="19">
        <v>1</v>
      </c>
      <c r="F107" s="15">
        <v>59.99</v>
      </c>
      <c r="G107" s="15">
        <v>59.99</v>
      </c>
      <c r="H107" s="7" t="s">
        <v>711</v>
      </c>
      <c r="I107" s="7" t="s">
        <v>672</v>
      </c>
      <c r="J107" s="7" t="s">
        <v>774</v>
      </c>
      <c r="K107" s="7" t="str">
        <f>HYPERLINK("http://slimages.macys.com/is/image/MCY/18743599 ")</f>
        <v xml:space="preserve">http://slimages.macys.com/is/image/MCY/18743599 </v>
      </c>
    </row>
    <row r="108" spans="1:11" ht="20.100000000000001" customHeight="1" x14ac:dyDescent="0.25">
      <c r="A108" s="13" t="s">
        <v>160</v>
      </c>
      <c r="B108" s="14">
        <v>13814657</v>
      </c>
      <c r="C108" s="20">
        <v>679610834840</v>
      </c>
      <c r="D108" s="6" t="s">
        <v>924</v>
      </c>
      <c r="E108" s="19">
        <v>1</v>
      </c>
      <c r="F108" s="15">
        <v>59.99</v>
      </c>
      <c r="G108" s="15">
        <v>59.99</v>
      </c>
      <c r="H108" s="7" t="s">
        <v>711</v>
      </c>
      <c r="I108" s="7" t="s">
        <v>672</v>
      </c>
      <c r="J108" s="7" t="s">
        <v>774</v>
      </c>
      <c r="K108" s="7" t="str">
        <f>HYPERLINK("http://slimages.macys.com/is/image/MCY/18743617 ")</f>
        <v xml:space="preserve">http://slimages.macys.com/is/image/MCY/18743617 </v>
      </c>
    </row>
    <row r="109" spans="1:11" ht="20.100000000000001" customHeight="1" x14ac:dyDescent="0.25">
      <c r="A109" s="13" t="s">
        <v>160</v>
      </c>
      <c r="B109" s="14">
        <v>13814657</v>
      </c>
      <c r="C109" s="20">
        <v>681827992695</v>
      </c>
      <c r="D109" s="6" t="s">
        <v>250</v>
      </c>
      <c r="E109" s="19">
        <v>1</v>
      </c>
      <c r="F109" s="15">
        <v>69.989999999999995</v>
      </c>
      <c r="G109" s="15">
        <v>69.989999999999995</v>
      </c>
      <c r="H109" s="7" t="s">
        <v>784</v>
      </c>
      <c r="I109" s="7" t="s">
        <v>736</v>
      </c>
      <c r="J109" s="7" t="s">
        <v>900</v>
      </c>
      <c r="K109" s="7" t="str">
        <f>HYPERLINK("http://slimages.macys.com/is/image/MCY/18515438 ")</f>
        <v xml:space="preserve">http://slimages.macys.com/is/image/MCY/18515438 </v>
      </c>
    </row>
    <row r="110" spans="1:11" ht="20.100000000000001" customHeight="1" x14ac:dyDescent="0.25">
      <c r="A110" s="13" t="s">
        <v>160</v>
      </c>
      <c r="B110" s="14">
        <v>13814657</v>
      </c>
      <c r="C110" s="20">
        <v>681827992770</v>
      </c>
      <c r="D110" s="6" t="s">
        <v>251</v>
      </c>
      <c r="E110" s="19">
        <v>1</v>
      </c>
      <c r="F110" s="15">
        <v>69.989999999999995</v>
      </c>
      <c r="G110" s="15">
        <v>69.989999999999995</v>
      </c>
      <c r="H110" s="7" t="s">
        <v>725</v>
      </c>
      <c r="I110" s="7" t="s">
        <v>736</v>
      </c>
      <c r="J110" s="7" t="s">
        <v>900</v>
      </c>
      <c r="K110" s="7" t="str">
        <f>HYPERLINK("http://slimages.macys.com/is/image/MCY/18515438 ")</f>
        <v xml:space="preserve">http://slimages.macys.com/is/image/MCY/18515438 </v>
      </c>
    </row>
    <row r="111" spans="1:11" ht="20.100000000000001" customHeight="1" x14ac:dyDescent="0.25">
      <c r="A111" s="13" t="s">
        <v>160</v>
      </c>
      <c r="B111" s="14">
        <v>13814657</v>
      </c>
      <c r="C111" s="20">
        <v>688098907441</v>
      </c>
      <c r="D111" s="6" t="s">
        <v>252</v>
      </c>
      <c r="E111" s="19">
        <v>1</v>
      </c>
      <c r="F111" s="15">
        <v>19.989999999999998</v>
      </c>
      <c r="G111" s="15">
        <v>19.989999999999998</v>
      </c>
      <c r="H111" s="7" t="s">
        <v>833</v>
      </c>
      <c r="I111" s="7" t="s">
        <v>682</v>
      </c>
      <c r="J111" s="7" t="s">
        <v>253</v>
      </c>
      <c r="K111" s="7" t="str">
        <f>HYPERLINK("http://slimages.macys.com/is/image/MCY/14359194 ")</f>
        <v xml:space="preserve">http://slimages.macys.com/is/image/MCY/14359194 </v>
      </c>
    </row>
    <row r="112" spans="1:11" ht="20.100000000000001" customHeight="1" x14ac:dyDescent="0.25">
      <c r="A112" s="13" t="s">
        <v>160</v>
      </c>
      <c r="B112" s="14">
        <v>13814657</v>
      </c>
      <c r="C112" s="20">
        <v>689192618936</v>
      </c>
      <c r="D112" s="6" t="s">
        <v>254</v>
      </c>
      <c r="E112" s="19">
        <v>1</v>
      </c>
      <c r="F112" s="15">
        <v>89.99</v>
      </c>
      <c r="G112" s="15">
        <v>89.99</v>
      </c>
      <c r="H112" s="7" t="s">
        <v>676</v>
      </c>
      <c r="I112" s="7" t="s">
        <v>736</v>
      </c>
      <c r="J112" s="7" t="s">
        <v>900</v>
      </c>
      <c r="K112" s="7" t="str">
        <f>HYPERLINK("http://slimages.macys.com/is/image/MCY/15198981 ")</f>
        <v xml:space="preserve">http://slimages.macys.com/is/image/MCY/15198981 </v>
      </c>
    </row>
    <row r="113" spans="1:11" ht="20.100000000000001" customHeight="1" x14ac:dyDescent="0.25">
      <c r="A113" s="13" t="s">
        <v>160</v>
      </c>
      <c r="B113" s="14">
        <v>13814657</v>
      </c>
      <c r="C113" s="20">
        <v>689192618950</v>
      </c>
      <c r="D113" s="6" t="s">
        <v>255</v>
      </c>
      <c r="E113" s="19">
        <v>1</v>
      </c>
      <c r="F113" s="15">
        <v>79.989999999999995</v>
      </c>
      <c r="G113" s="15">
        <v>79.989999999999995</v>
      </c>
      <c r="H113" s="7" t="s">
        <v>773</v>
      </c>
      <c r="I113" s="7" t="s">
        <v>736</v>
      </c>
      <c r="J113" s="7" t="s">
        <v>900</v>
      </c>
      <c r="K113" s="7" t="str">
        <f>HYPERLINK("http://slimages.macys.com/is/image/MCY/15198973 ")</f>
        <v xml:space="preserve">http://slimages.macys.com/is/image/MCY/15198973 </v>
      </c>
    </row>
    <row r="114" spans="1:11" ht="20.100000000000001" customHeight="1" x14ac:dyDescent="0.25">
      <c r="A114" s="13" t="s">
        <v>160</v>
      </c>
      <c r="B114" s="14">
        <v>13814657</v>
      </c>
      <c r="C114" s="20">
        <v>693614014756</v>
      </c>
      <c r="D114" s="6" t="s">
        <v>256</v>
      </c>
      <c r="E114" s="19">
        <v>2</v>
      </c>
      <c r="F114" s="15">
        <v>94.99</v>
      </c>
      <c r="G114" s="15">
        <v>189.98</v>
      </c>
      <c r="H114" s="7" t="s">
        <v>668</v>
      </c>
      <c r="I114" s="7" t="s">
        <v>669</v>
      </c>
      <c r="J114" s="7" t="s">
        <v>670</v>
      </c>
      <c r="K114" s="7" t="str">
        <f>HYPERLINK("http://slimages.macys.com/is/image/MCY/11798820 ")</f>
        <v xml:space="preserve">http://slimages.macys.com/is/image/MCY/11798820 </v>
      </c>
    </row>
    <row r="115" spans="1:11" ht="20.100000000000001" customHeight="1" x14ac:dyDescent="0.25">
      <c r="A115" s="13" t="s">
        <v>160</v>
      </c>
      <c r="B115" s="14">
        <v>13814657</v>
      </c>
      <c r="C115" s="20">
        <v>706254462945</v>
      </c>
      <c r="D115" s="6" t="s">
        <v>257</v>
      </c>
      <c r="E115" s="19">
        <v>1</v>
      </c>
      <c r="F115" s="15">
        <v>16.989999999999998</v>
      </c>
      <c r="G115" s="15">
        <v>16.989999999999998</v>
      </c>
      <c r="H115" s="7" t="s">
        <v>668</v>
      </c>
      <c r="I115" s="7" t="s">
        <v>694</v>
      </c>
      <c r="J115" s="7" t="s">
        <v>695</v>
      </c>
      <c r="K115" s="7" t="str">
        <f>HYPERLINK("http://slimages.macys.com/is/image/MCY/12737864 ")</f>
        <v xml:space="preserve">http://slimages.macys.com/is/image/MCY/12737864 </v>
      </c>
    </row>
    <row r="116" spans="1:11" ht="20.100000000000001" customHeight="1" x14ac:dyDescent="0.25">
      <c r="A116" s="13" t="s">
        <v>160</v>
      </c>
      <c r="B116" s="14">
        <v>13814657</v>
      </c>
      <c r="C116" s="20">
        <v>706254462945</v>
      </c>
      <c r="D116" s="6" t="s">
        <v>257</v>
      </c>
      <c r="E116" s="19">
        <v>2</v>
      </c>
      <c r="F116" s="15">
        <v>16.989999999999998</v>
      </c>
      <c r="G116" s="15">
        <v>33.979999999999997</v>
      </c>
      <c r="H116" s="7" t="s">
        <v>668</v>
      </c>
      <c r="I116" s="7" t="s">
        <v>694</v>
      </c>
      <c r="J116" s="7" t="s">
        <v>695</v>
      </c>
      <c r="K116" s="7" t="str">
        <f>HYPERLINK("http://slimages.macys.com/is/image/MCY/12737864 ")</f>
        <v xml:space="preserve">http://slimages.macys.com/is/image/MCY/12737864 </v>
      </c>
    </row>
    <row r="117" spans="1:11" ht="20.100000000000001" customHeight="1" x14ac:dyDescent="0.25">
      <c r="A117" s="13" t="s">
        <v>160</v>
      </c>
      <c r="B117" s="14">
        <v>13814657</v>
      </c>
      <c r="C117" s="20">
        <v>706254463034</v>
      </c>
      <c r="D117" s="6" t="s">
        <v>258</v>
      </c>
      <c r="E117" s="19">
        <v>1</v>
      </c>
      <c r="F117" s="15">
        <v>16.989999999999998</v>
      </c>
      <c r="G117" s="15">
        <v>16.989999999999998</v>
      </c>
      <c r="H117" s="7" t="s">
        <v>775</v>
      </c>
      <c r="I117" s="7" t="s">
        <v>694</v>
      </c>
      <c r="J117" s="7" t="s">
        <v>695</v>
      </c>
      <c r="K117" s="7" t="str">
        <f>HYPERLINK("http://slimages.macys.com/is/image/MCY/12737864 ")</f>
        <v xml:space="preserve">http://slimages.macys.com/is/image/MCY/12737864 </v>
      </c>
    </row>
    <row r="118" spans="1:11" ht="20.100000000000001" customHeight="1" x14ac:dyDescent="0.25">
      <c r="A118" s="13" t="s">
        <v>160</v>
      </c>
      <c r="B118" s="14">
        <v>13814657</v>
      </c>
      <c r="C118" s="20">
        <v>706254463089</v>
      </c>
      <c r="D118" s="6" t="s">
        <v>259</v>
      </c>
      <c r="E118" s="19">
        <v>2</v>
      </c>
      <c r="F118" s="15">
        <v>16.989999999999998</v>
      </c>
      <c r="G118" s="15">
        <v>33.979999999999997</v>
      </c>
      <c r="H118" s="7" t="s">
        <v>698</v>
      </c>
      <c r="I118" s="7" t="s">
        <v>694</v>
      </c>
      <c r="J118" s="7" t="s">
        <v>695</v>
      </c>
      <c r="K118" s="7" t="str">
        <f>HYPERLINK("http://slimages.macys.com/is/image/MCY/12737864 ")</f>
        <v xml:space="preserve">http://slimages.macys.com/is/image/MCY/12737864 </v>
      </c>
    </row>
    <row r="119" spans="1:11" ht="20.100000000000001" customHeight="1" x14ac:dyDescent="0.25">
      <c r="A119" s="13" t="s">
        <v>160</v>
      </c>
      <c r="B119" s="14">
        <v>13814657</v>
      </c>
      <c r="C119" s="20">
        <v>706254463096</v>
      </c>
      <c r="D119" s="6" t="s">
        <v>260</v>
      </c>
      <c r="E119" s="19">
        <v>1</v>
      </c>
      <c r="F119" s="15">
        <v>16.989999999999998</v>
      </c>
      <c r="G119" s="15">
        <v>16.989999999999998</v>
      </c>
      <c r="H119" s="7" t="s">
        <v>721</v>
      </c>
      <c r="I119" s="7" t="s">
        <v>694</v>
      </c>
      <c r="J119" s="7" t="s">
        <v>695</v>
      </c>
      <c r="K119" s="7" t="str">
        <f>HYPERLINK("http://slimages.macys.com/is/image/MCY/12737864 ")</f>
        <v xml:space="preserve">http://slimages.macys.com/is/image/MCY/12737864 </v>
      </c>
    </row>
    <row r="120" spans="1:11" ht="20.100000000000001" customHeight="1" x14ac:dyDescent="0.25">
      <c r="A120" s="13" t="s">
        <v>160</v>
      </c>
      <c r="B120" s="14">
        <v>13814657</v>
      </c>
      <c r="C120" s="20">
        <v>706254463232</v>
      </c>
      <c r="D120" s="6" t="s">
        <v>911</v>
      </c>
      <c r="E120" s="19">
        <v>1</v>
      </c>
      <c r="F120" s="15">
        <v>12.99</v>
      </c>
      <c r="G120" s="15">
        <v>12.99</v>
      </c>
      <c r="H120" s="7" t="s">
        <v>668</v>
      </c>
      <c r="I120" s="7" t="s">
        <v>694</v>
      </c>
      <c r="J120" s="7" t="s">
        <v>695</v>
      </c>
      <c r="K120" s="7" t="str">
        <f>HYPERLINK("http://slimages.macys.com/is/image/MCY/12737814 ")</f>
        <v xml:space="preserve">http://slimages.macys.com/is/image/MCY/12737814 </v>
      </c>
    </row>
    <row r="121" spans="1:11" ht="20.100000000000001" customHeight="1" x14ac:dyDescent="0.25">
      <c r="A121" s="13" t="s">
        <v>160</v>
      </c>
      <c r="B121" s="14">
        <v>13814657</v>
      </c>
      <c r="C121" s="20">
        <v>706254616522</v>
      </c>
      <c r="D121" s="6" t="s">
        <v>931</v>
      </c>
      <c r="E121" s="19">
        <v>1</v>
      </c>
      <c r="F121" s="15">
        <v>17.989999999999998</v>
      </c>
      <c r="G121" s="15">
        <v>17.989999999999998</v>
      </c>
      <c r="H121" s="7" t="s">
        <v>671</v>
      </c>
      <c r="I121" s="7" t="s">
        <v>694</v>
      </c>
      <c r="J121" s="7" t="s">
        <v>695</v>
      </c>
      <c r="K121" s="7" t="str">
        <f>HYPERLINK("http://slimages.macys.com/is/image/MCY/3964365 ")</f>
        <v xml:space="preserve">http://slimages.macys.com/is/image/MCY/3964365 </v>
      </c>
    </row>
    <row r="122" spans="1:11" ht="20.100000000000001" customHeight="1" x14ac:dyDescent="0.25">
      <c r="A122" s="13" t="s">
        <v>160</v>
      </c>
      <c r="B122" s="14">
        <v>13814657</v>
      </c>
      <c r="C122" s="20">
        <v>706255403664</v>
      </c>
      <c r="D122" s="6" t="s">
        <v>261</v>
      </c>
      <c r="E122" s="19">
        <v>2</v>
      </c>
      <c r="F122" s="15">
        <v>39.99</v>
      </c>
      <c r="G122" s="15">
        <v>79.98</v>
      </c>
      <c r="H122" s="7" t="s">
        <v>701</v>
      </c>
      <c r="I122" s="7" t="s">
        <v>763</v>
      </c>
      <c r="J122" s="7" t="s">
        <v>262</v>
      </c>
      <c r="K122" s="7" t="str">
        <f>HYPERLINK("http://slimages.macys.com/is/image/MCY/2620611 ")</f>
        <v xml:space="preserve">http://slimages.macys.com/is/image/MCY/2620611 </v>
      </c>
    </row>
    <row r="123" spans="1:11" ht="20.100000000000001" customHeight="1" x14ac:dyDescent="0.25">
      <c r="A123" s="13" t="s">
        <v>160</v>
      </c>
      <c r="B123" s="14">
        <v>13814657</v>
      </c>
      <c r="C123" s="20">
        <v>706255871609</v>
      </c>
      <c r="D123" s="6" t="s">
        <v>709</v>
      </c>
      <c r="E123" s="19">
        <v>1</v>
      </c>
      <c r="F123" s="15">
        <v>7.99</v>
      </c>
      <c r="G123" s="15">
        <v>7.99</v>
      </c>
      <c r="H123" s="7" t="s">
        <v>671</v>
      </c>
      <c r="I123" s="7" t="s">
        <v>694</v>
      </c>
      <c r="J123" s="7" t="s">
        <v>710</v>
      </c>
      <c r="K123" s="7" t="str">
        <f>HYPERLINK("http://slimages.macys.com/is/image/MCY/12723264 ")</f>
        <v xml:space="preserve">http://slimages.macys.com/is/image/MCY/12723264 </v>
      </c>
    </row>
    <row r="124" spans="1:11" ht="20.100000000000001" customHeight="1" x14ac:dyDescent="0.25">
      <c r="A124" s="13" t="s">
        <v>160</v>
      </c>
      <c r="B124" s="14">
        <v>13814657</v>
      </c>
      <c r="C124" s="20">
        <v>706257253755</v>
      </c>
      <c r="D124" s="6" t="s">
        <v>263</v>
      </c>
      <c r="E124" s="19">
        <v>1</v>
      </c>
      <c r="F124" s="15">
        <v>69.989999999999995</v>
      </c>
      <c r="G124" s="15">
        <v>69.989999999999995</v>
      </c>
      <c r="H124" s="7" t="s">
        <v>668</v>
      </c>
      <c r="I124" s="7" t="s">
        <v>680</v>
      </c>
      <c r="J124" s="7" t="s">
        <v>747</v>
      </c>
      <c r="K124" s="7" t="str">
        <f>HYPERLINK("http://slimages.macys.com/is/image/MCY/8157174 ")</f>
        <v xml:space="preserve">http://slimages.macys.com/is/image/MCY/8157174 </v>
      </c>
    </row>
    <row r="125" spans="1:11" ht="20.100000000000001" customHeight="1" x14ac:dyDescent="0.25">
      <c r="A125" s="13" t="s">
        <v>160</v>
      </c>
      <c r="B125" s="14">
        <v>13814657</v>
      </c>
      <c r="C125" s="20">
        <v>706257399811</v>
      </c>
      <c r="D125" s="6" t="s">
        <v>264</v>
      </c>
      <c r="E125" s="19">
        <v>2</v>
      </c>
      <c r="F125" s="15">
        <v>139.99</v>
      </c>
      <c r="G125" s="15">
        <v>279.98</v>
      </c>
      <c r="H125" s="7" t="s">
        <v>701</v>
      </c>
      <c r="I125" s="7" t="s">
        <v>680</v>
      </c>
      <c r="J125" s="7" t="s">
        <v>747</v>
      </c>
      <c r="K125" s="7" t="str">
        <f>HYPERLINK("http://slimages.macys.com/is/image/MCY/8182285 ")</f>
        <v xml:space="preserve">http://slimages.macys.com/is/image/MCY/8182285 </v>
      </c>
    </row>
    <row r="126" spans="1:11" ht="20.100000000000001" customHeight="1" x14ac:dyDescent="0.25">
      <c r="A126" s="13" t="s">
        <v>160</v>
      </c>
      <c r="B126" s="14">
        <v>13814657</v>
      </c>
      <c r="C126" s="20">
        <v>706257399873</v>
      </c>
      <c r="D126" s="6" t="s">
        <v>265</v>
      </c>
      <c r="E126" s="19">
        <v>1</v>
      </c>
      <c r="F126" s="15">
        <v>84.99</v>
      </c>
      <c r="G126" s="15">
        <v>84.99</v>
      </c>
      <c r="H126" s="7" t="s">
        <v>668</v>
      </c>
      <c r="I126" s="7" t="s">
        <v>680</v>
      </c>
      <c r="J126" s="7" t="s">
        <v>747</v>
      </c>
      <c r="K126" s="7" t="str">
        <f>HYPERLINK("http://slimages.macys.com/is/image/MCY/8182285 ")</f>
        <v xml:space="preserve">http://slimages.macys.com/is/image/MCY/8182285 </v>
      </c>
    </row>
    <row r="127" spans="1:11" ht="20.100000000000001" customHeight="1" x14ac:dyDescent="0.25">
      <c r="A127" s="13" t="s">
        <v>160</v>
      </c>
      <c r="B127" s="14">
        <v>13814657</v>
      </c>
      <c r="C127" s="20">
        <v>706257404324</v>
      </c>
      <c r="D127" s="6" t="s">
        <v>880</v>
      </c>
      <c r="E127" s="19">
        <v>2</v>
      </c>
      <c r="F127" s="15">
        <v>99.99</v>
      </c>
      <c r="G127" s="15">
        <v>199.98</v>
      </c>
      <c r="H127" s="7" t="s">
        <v>668</v>
      </c>
      <c r="I127" s="7" t="s">
        <v>680</v>
      </c>
      <c r="J127" s="7" t="s">
        <v>747</v>
      </c>
      <c r="K127" s="7" t="str">
        <f>HYPERLINK("http://slimages.macys.com/is/image/MCY/8182285 ")</f>
        <v xml:space="preserve">http://slimages.macys.com/is/image/MCY/8182285 </v>
      </c>
    </row>
    <row r="128" spans="1:11" ht="20.100000000000001" customHeight="1" x14ac:dyDescent="0.25">
      <c r="A128" s="13" t="s">
        <v>160</v>
      </c>
      <c r="B128" s="14">
        <v>13814657</v>
      </c>
      <c r="C128" s="20">
        <v>706257404720</v>
      </c>
      <c r="D128" s="6" t="s">
        <v>266</v>
      </c>
      <c r="E128" s="19">
        <v>1</v>
      </c>
      <c r="F128" s="15">
        <v>124.99</v>
      </c>
      <c r="G128" s="15">
        <v>124.99</v>
      </c>
      <c r="H128" s="7" t="s">
        <v>665</v>
      </c>
      <c r="I128" s="7" t="s">
        <v>680</v>
      </c>
      <c r="J128" s="7" t="s">
        <v>747</v>
      </c>
      <c r="K128" s="7" t="str">
        <f>HYPERLINK("http://slimages.macys.com/is/image/MCY/8182285 ")</f>
        <v xml:space="preserve">http://slimages.macys.com/is/image/MCY/8182285 </v>
      </c>
    </row>
    <row r="129" spans="1:11" ht="20.100000000000001" customHeight="1" x14ac:dyDescent="0.25">
      <c r="A129" s="13" t="s">
        <v>160</v>
      </c>
      <c r="B129" s="14">
        <v>13814657</v>
      </c>
      <c r="C129" s="20">
        <v>706257998267</v>
      </c>
      <c r="D129" s="6" t="s">
        <v>267</v>
      </c>
      <c r="E129" s="19">
        <v>1</v>
      </c>
      <c r="F129" s="15">
        <v>199</v>
      </c>
      <c r="G129" s="15">
        <v>199</v>
      </c>
      <c r="H129" s="7" t="s">
        <v>754</v>
      </c>
      <c r="I129" s="7" t="s">
        <v>680</v>
      </c>
      <c r="J129" s="7" t="s">
        <v>733</v>
      </c>
      <c r="K129" s="7" t="str">
        <f>HYPERLINK("http://slimages.macys.com/is/image/MCY/8453058 ")</f>
        <v xml:space="preserve">http://slimages.macys.com/is/image/MCY/8453058 </v>
      </c>
    </row>
    <row r="130" spans="1:11" ht="20.100000000000001" customHeight="1" x14ac:dyDescent="0.25">
      <c r="A130" s="13" t="s">
        <v>160</v>
      </c>
      <c r="B130" s="14">
        <v>13814657</v>
      </c>
      <c r="C130" s="20">
        <v>706258050568</v>
      </c>
      <c r="D130" s="6" t="s">
        <v>734</v>
      </c>
      <c r="E130" s="19">
        <v>1</v>
      </c>
      <c r="F130" s="15">
        <v>69.989999999999995</v>
      </c>
      <c r="G130" s="15">
        <v>69.989999999999995</v>
      </c>
      <c r="H130" s="7" t="s">
        <v>668</v>
      </c>
      <c r="I130" s="7" t="s">
        <v>692</v>
      </c>
      <c r="J130" s="7" t="s">
        <v>693</v>
      </c>
      <c r="K130" s="7" t="str">
        <f>HYPERLINK("http://slimages.macys.com/is/image/MCY/11607139 ")</f>
        <v xml:space="preserve">http://slimages.macys.com/is/image/MCY/11607139 </v>
      </c>
    </row>
    <row r="131" spans="1:11" ht="20.100000000000001" customHeight="1" x14ac:dyDescent="0.25">
      <c r="A131" s="13" t="s">
        <v>160</v>
      </c>
      <c r="B131" s="14">
        <v>13814657</v>
      </c>
      <c r="C131" s="20">
        <v>706258050711</v>
      </c>
      <c r="D131" s="6" t="s">
        <v>268</v>
      </c>
      <c r="E131" s="19">
        <v>1</v>
      </c>
      <c r="F131" s="15">
        <v>119.99</v>
      </c>
      <c r="G131" s="15">
        <v>119.99</v>
      </c>
      <c r="H131" s="7" t="s">
        <v>668</v>
      </c>
      <c r="I131" s="7" t="s">
        <v>692</v>
      </c>
      <c r="J131" s="7" t="s">
        <v>693</v>
      </c>
      <c r="K131" s="7" t="str">
        <f>HYPERLINK("http://slimages.macys.com/is/image/MCY/8433217 ")</f>
        <v xml:space="preserve">http://slimages.macys.com/is/image/MCY/8433217 </v>
      </c>
    </row>
    <row r="132" spans="1:11" ht="20.100000000000001" customHeight="1" x14ac:dyDescent="0.25">
      <c r="A132" s="13" t="s">
        <v>160</v>
      </c>
      <c r="B132" s="14">
        <v>13814657</v>
      </c>
      <c r="C132" s="20">
        <v>706258051381</v>
      </c>
      <c r="D132" s="6" t="s">
        <v>866</v>
      </c>
      <c r="E132" s="19">
        <v>1</v>
      </c>
      <c r="F132" s="15">
        <v>99.99</v>
      </c>
      <c r="G132" s="15">
        <v>99.99</v>
      </c>
      <c r="H132" s="7" t="s">
        <v>701</v>
      </c>
      <c r="I132" s="7" t="s">
        <v>692</v>
      </c>
      <c r="J132" s="7" t="s">
        <v>693</v>
      </c>
      <c r="K132" s="7" t="str">
        <f>HYPERLINK("http://slimages.macys.com/is/image/MCY/11534834 ")</f>
        <v xml:space="preserve">http://slimages.macys.com/is/image/MCY/11534834 </v>
      </c>
    </row>
    <row r="133" spans="1:11" ht="20.100000000000001" customHeight="1" x14ac:dyDescent="0.25">
      <c r="A133" s="13" t="s">
        <v>160</v>
      </c>
      <c r="B133" s="14">
        <v>13814657</v>
      </c>
      <c r="C133" s="20">
        <v>706258051411</v>
      </c>
      <c r="D133" s="6" t="s">
        <v>269</v>
      </c>
      <c r="E133" s="19">
        <v>1</v>
      </c>
      <c r="F133" s="15">
        <v>109.99</v>
      </c>
      <c r="G133" s="15">
        <v>109.99</v>
      </c>
      <c r="H133" s="7" t="s">
        <v>668</v>
      </c>
      <c r="I133" s="7" t="s">
        <v>692</v>
      </c>
      <c r="J133" s="7" t="s">
        <v>693</v>
      </c>
      <c r="K133" s="7" t="str">
        <f>HYPERLINK("http://slimages.macys.com/is/image/MCY/11534834 ")</f>
        <v xml:space="preserve">http://slimages.macys.com/is/image/MCY/11534834 </v>
      </c>
    </row>
    <row r="134" spans="1:11" ht="20.100000000000001" customHeight="1" x14ac:dyDescent="0.25">
      <c r="A134" s="13" t="s">
        <v>160</v>
      </c>
      <c r="B134" s="14">
        <v>13814657</v>
      </c>
      <c r="C134" s="20">
        <v>706258051435</v>
      </c>
      <c r="D134" s="6" t="s">
        <v>952</v>
      </c>
      <c r="E134" s="19">
        <v>1</v>
      </c>
      <c r="F134" s="15">
        <v>109.99</v>
      </c>
      <c r="G134" s="15">
        <v>109.99</v>
      </c>
      <c r="H134" s="7" t="s">
        <v>742</v>
      </c>
      <c r="I134" s="7" t="s">
        <v>692</v>
      </c>
      <c r="J134" s="7" t="s">
        <v>693</v>
      </c>
      <c r="K134" s="7" t="str">
        <f>HYPERLINK("http://slimages.macys.com/is/image/MCY/11534834 ")</f>
        <v xml:space="preserve">http://slimages.macys.com/is/image/MCY/11534834 </v>
      </c>
    </row>
    <row r="135" spans="1:11" ht="20.100000000000001" customHeight="1" x14ac:dyDescent="0.25">
      <c r="A135" s="13" t="s">
        <v>160</v>
      </c>
      <c r="B135" s="14">
        <v>13814657</v>
      </c>
      <c r="C135" s="20">
        <v>706258091257</v>
      </c>
      <c r="D135" s="6" t="s">
        <v>270</v>
      </c>
      <c r="E135" s="19">
        <v>1</v>
      </c>
      <c r="F135" s="15">
        <v>39.99</v>
      </c>
      <c r="G135" s="15">
        <v>39.99</v>
      </c>
      <c r="H135" s="7" t="s">
        <v>668</v>
      </c>
      <c r="I135" s="7" t="s">
        <v>692</v>
      </c>
      <c r="J135" s="7" t="s">
        <v>693</v>
      </c>
      <c r="K135" s="7" t="str">
        <f>HYPERLINK("http://slimages.macys.com/is/image/MCY/8484844 ")</f>
        <v xml:space="preserve">http://slimages.macys.com/is/image/MCY/8484844 </v>
      </c>
    </row>
    <row r="136" spans="1:11" ht="20.100000000000001" customHeight="1" x14ac:dyDescent="0.25">
      <c r="A136" s="13" t="s">
        <v>160</v>
      </c>
      <c r="B136" s="14">
        <v>13814657</v>
      </c>
      <c r="C136" s="20">
        <v>706258615897</v>
      </c>
      <c r="D136" s="6" t="s">
        <v>271</v>
      </c>
      <c r="E136" s="19">
        <v>2</v>
      </c>
      <c r="F136" s="15">
        <v>29.99</v>
      </c>
      <c r="G136" s="15">
        <v>59.98</v>
      </c>
      <c r="H136" s="7" t="s">
        <v>714</v>
      </c>
      <c r="I136" s="7" t="s">
        <v>777</v>
      </c>
      <c r="J136" s="7" t="s">
        <v>890</v>
      </c>
      <c r="K136" s="7" t="str">
        <f>HYPERLINK("http://slimages.macys.com/is/image/MCY/9406085 ")</f>
        <v xml:space="preserve">http://slimages.macys.com/is/image/MCY/9406085 </v>
      </c>
    </row>
    <row r="137" spans="1:11" ht="20.100000000000001" customHeight="1" x14ac:dyDescent="0.25">
      <c r="A137" s="13" t="s">
        <v>160</v>
      </c>
      <c r="B137" s="14">
        <v>13814657</v>
      </c>
      <c r="C137" s="20">
        <v>706258616337</v>
      </c>
      <c r="D137" s="6" t="s">
        <v>905</v>
      </c>
      <c r="E137" s="19">
        <v>1</v>
      </c>
      <c r="F137" s="15">
        <v>12.99</v>
      </c>
      <c r="G137" s="15">
        <v>12.99</v>
      </c>
      <c r="H137" s="7" t="s">
        <v>714</v>
      </c>
      <c r="I137" s="7" t="s">
        <v>777</v>
      </c>
      <c r="J137" s="7" t="s">
        <v>890</v>
      </c>
      <c r="K137" s="7" t="str">
        <f>HYPERLINK("http://slimages.macys.com/is/image/MCY/2831820 ")</f>
        <v xml:space="preserve">http://slimages.macys.com/is/image/MCY/2831820 </v>
      </c>
    </row>
    <row r="138" spans="1:11" ht="20.100000000000001" customHeight="1" x14ac:dyDescent="0.25">
      <c r="A138" s="13" t="s">
        <v>160</v>
      </c>
      <c r="B138" s="14">
        <v>13814657</v>
      </c>
      <c r="C138" s="20">
        <v>709271491653</v>
      </c>
      <c r="D138" s="6" t="s">
        <v>272</v>
      </c>
      <c r="E138" s="19">
        <v>1</v>
      </c>
      <c r="F138" s="15">
        <v>29.99</v>
      </c>
      <c r="G138" s="15">
        <v>29.99</v>
      </c>
      <c r="H138" s="7" t="s">
        <v>691</v>
      </c>
      <c r="I138" s="7" t="s">
        <v>719</v>
      </c>
      <c r="J138" s="7" t="s">
        <v>839</v>
      </c>
      <c r="K138" s="7" t="str">
        <f>HYPERLINK("http://slimages.macys.com/is/image/MCY/17135230 ")</f>
        <v xml:space="preserve">http://slimages.macys.com/is/image/MCY/17135230 </v>
      </c>
    </row>
    <row r="139" spans="1:11" ht="20.100000000000001" customHeight="1" x14ac:dyDescent="0.25">
      <c r="A139" s="13" t="s">
        <v>160</v>
      </c>
      <c r="B139" s="14">
        <v>13814657</v>
      </c>
      <c r="C139" s="20">
        <v>718498104178</v>
      </c>
      <c r="D139" s="6" t="s">
        <v>273</v>
      </c>
      <c r="E139" s="19">
        <v>1</v>
      </c>
      <c r="F139" s="15">
        <v>236.99</v>
      </c>
      <c r="G139" s="15">
        <v>236.99</v>
      </c>
      <c r="H139" s="7" t="s">
        <v>686</v>
      </c>
      <c r="I139" s="7" t="s">
        <v>736</v>
      </c>
      <c r="J139" s="7" t="s">
        <v>139</v>
      </c>
      <c r="K139" s="7" t="str">
        <f>HYPERLINK("http://slimages.macys.com/is/image/MCY/8063170 ")</f>
        <v xml:space="preserve">http://slimages.macys.com/is/image/MCY/8063170 </v>
      </c>
    </row>
    <row r="140" spans="1:11" ht="20.100000000000001" customHeight="1" x14ac:dyDescent="0.25">
      <c r="A140" s="13" t="s">
        <v>160</v>
      </c>
      <c r="B140" s="14">
        <v>13814657</v>
      </c>
      <c r="C140" s="20">
        <v>724131817626</v>
      </c>
      <c r="D140" s="6" t="s">
        <v>274</v>
      </c>
      <c r="E140" s="19">
        <v>1</v>
      </c>
      <c r="F140" s="15">
        <v>49.99</v>
      </c>
      <c r="G140" s="15">
        <v>49.99</v>
      </c>
      <c r="H140" s="7" t="s">
        <v>732</v>
      </c>
      <c r="I140" s="7" t="s">
        <v>752</v>
      </c>
      <c r="J140" s="7" t="s">
        <v>275</v>
      </c>
      <c r="K140" s="7" t="str">
        <f>HYPERLINK("http://slimages.macys.com/is/image/MCY/11601640 ")</f>
        <v xml:space="preserve">http://slimages.macys.com/is/image/MCY/11601640 </v>
      </c>
    </row>
    <row r="141" spans="1:11" ht="20.100000000000001" customHeight="1" x14ac:dyDescent="0.25">
      <c r="A141" s="13" t="s">
        <v>160</v>
      </c>
      <c r="B141" s="14">
        <v>13814657</v>
      </c>
      <c r="C141" s="20">
        <v>724131822316</v>
      </c>
      <c r="D141" s="6" t="s">
        <v>276</v>
      </c>
      <c r="E141" s="19">
        <v>1</v>
      </c>
      <c r="F141" s="15">
        <v>49.99</v>
      </c>
      <c r="G141" s="15">
        <v>49.99</v>
      </c>
      <c r="H141" s="7" t="s">
        <v>668</v>
      </c>
      <c r="I141" s="7" t="s">
        <v>752</v>
      </c>
      <c r="J141" s="7" t="s">
        <v>275</v>
      </c>
      <c r="K141" s="7" t="str">
        <f>HYPERLINK("http://slimages.macys.com/is/image/MCY/11601849 ")</f>
        <v xml:space="preserve">http://slimages.macys.com/is/image/MCY/11601849 </v>
      </c>
    </row>
    <row r="142" spans="1:11" ht="20.100000000000001" customHeight="1" x14ac:dyDescent="0.25">
      <c r="A142" s="13" t="s">
        <v>160</v>
      </c>
      <c r="B142" s="14">
        <v>13814657</v>
      </c>
      <c r="C142" s="20">
        <v>726895578232</v>
      </c>
      <c r="D142" s="6" t="s">
        <v>277</v>
      </c>
      <c r="E142" s="19">
        <v>1</v>
      </c>
      <c r="F142" s="15">
        <v>39.99</v>
      </c>
      <c r="G142" s="15">
        <v>39.99</v>
      </c>
      <c r="H142" s="7" t="s">
        <v>701</v>
      </c>
      <c r="I142" s="7" t="s">
        <v>763</v>
      </c>
      <c r="J142" s="7" t="s">
        <v>764</v>
      </c>
      <c r="K142" s="7" t="str">
        <f>HYPERLINK("http://slimages.macys.com/is/image/MCY/9513121 ")</f>
        <v xml:space="preserve">http://slimages.macys.com/is/image/MCY/9513121 </v>
      </c>
    </row>
    <row r="143" spans="1:11" ht="20.100000000000001" customHeight="1" x14ac:dyDescent="0.25">
      <c r="A143" s="13" t="s">
        <v>160</v>
      </c>
      <c r="B143" s="14">
        <v>13814657</v>
      </c>
      <c r="C143" s="20">
        <v>726895578294</v>
      </c>
      <c r="D143" s="6" t="s">
        <v>278</v>
      </c>
      <c r="E143" s="19">
        <v>1</v>
      </c>
      <c r="F143" s="15">
        <v>29.99</v>
      </c>
      <c r="G143" s="15">
        <v>29.99</v>
      </c>
      <c r="H143" s="7" t="s">
        <v>668</v>
      </c>
      <c r="I143" s="7" t="s">
        <v>763</v>
      </c>
      <c r="J143" s="7" t="s">
        <v>764</v>
      </c>
      <c r="K143" s="7" t="str">
        <f>HYPERLINK("http://slimages.macys.com/is/image/MCY/9356828 ")</f>
        <v xml:space="preserve">http://slimages.macys.com/is/image/MCY/9356828 </v>
      </c>
    </row>
    <row r="144" spans="1:11" ht="20.100000000000001" customHeight="1" x14ac:dyDescent="0.25">
      <c r="A144" s="13" t="s">
        <v>160</v>
      </c>
      <c r="B144" s="14">
        <v>13814657</v>
      </c>
      <c r="C144" s="20">
        <v>726895721799</v>
      </c>
      <c r="D144" s="6" t="s">
        <v>279</v>
      </c>
      <c r="E144" s="19">
        <v>1</v>
      </c>
      <c r="F144" s="15">
        <v>29.99</v>
      </c>
      <c r="G144" s="15">
        <v>29.99</v>
      </c>
      <c r="H144" s="7" t="s">
        <v>744</v>
      </c>
      <c r="I144" s="7" t="s">
        <v>692</v>
      </c>
      <c r="J144" s="7" t="s">
        <v>140</v>
      </c>
      <c r="K144" s="7" t="str">
        <f>HYPERLINK("http://slimages.macys.com/is/image/MCY/9408132 ")</f>
        <v xml:space="preserve">http://slimages.macys.com/is/image/MCY/9408132 </v>
      </c>
    </row>
    <row r="145" spans="1:11" ht="20.100000000000001" customHeight="1" x14ac:dyDescent="0.25">
      <c r="A145" s="13" t="s">
        <v>160</v>
      </c>
      <c r="B145" s="14">
        <v>13814657</v>
      </c>
      <c r="C145" s="20">
        <v>726895863796</v>
      </c>
      <c r="D145" s="6" t="s">
        <v>280</v>
      </c>
      <c r="E145" s="19">
        <v>1</v>
      </c>
      <c r="F145" s="15">
        <v>199.99</v>
      </c>
      <c r="G145" s="15">
        <v>199.99</v>
      </c>
      <c r="H145" s="7" t="s">
        <v>668</v>
      </c>
      <c r="I145" s="7" t="s">
        <v>680</v>
      </c>
      <c r="J145" s="7" t="s">
        <v>811</v>
      </c>
      <c r="K145" s="7" t="str">
        <f>HYPERLINK("http://slimages.macys.com/is/image/MCY/9619531 ")</f>
        <v xml:space="preserve">http://slimages.macys.com/is/image/MCY/9619531 </v>
      </c>
    </row>
    <row r="146" spans="1:11" ht="20.100000000000001" customHeight="1" x14ac:dyDescent="0.25">
      <c r="A146" s="13" t="s">
        <v>160</v>
      </c>
      <c r="B146" s="14">
        <v>13814657</v>
      </c>
      <c r="C146" s="20">
        <v>732995473506</v>
      </c>
      <c r="D146" s="6" t="s">
        <v>281</v>
      </c>
      <c r="E146" s="19">
        <v>1</v>
      </c>
      <c r="F146" s="15">
        <v>29.99</v>
      </c>
      <c r="G146" s="15">
        <v>29.99</v>
      </c>
      <c r="H146" s="7" t="s">
        <v>677</v>
      </c>
      <c r="I146" s="7" t="s">
        <v>808</v>
      </c>
      <c r="J146" s="7" t="s">
        <v>809</v>
      </c>
      <c r="K146" s="7" t="str">
        <f>HYPERLINK("http://slimages.macys.com/is/image/MCY/11777724 ")</f>
        <v xml:space="preserve">http://slimages.macys.com/is/image/MCY/11777724 </v>
      </c>
    </row>
    <row r="147" spans="1:11" ht="20.100000000000001" customHeight="1" x14ac:dyDescent="0.25">
      <c r="A147" s="13" t="s">
        <v>160</v>
      </c>
      <c r="B147" s="14">
        <v>13814657</v>
      </c>
      <c r="C147" s="20">
        <v>732995554915</v>
      </c>
      <c r="D147" s="6" t="s">
        <v>282</v>
      </c>
      <c r="E147" s="19">
        <v>1</v>
      </c>
      <c r="F147" s="15">
        <v>59.99</v>
      </c>
      <c r="G147" s="15">
        <v>59.99</v>
      </c>
      <c r="H147" s="7" t="s">
        <v>668</v>
      </c>
      <c r="I147" s="7" t="s">
        <v>692</v>
      </c>
      <c r="J147" s="7" t="s">
        <v>140</v>
      </c>
      <c r="K147" s="7" t="str">
        <f>HYPERLINK("http://slimages.macys.com/is/image/MCY/11518009 ")</f>
        <v xml:space="preserve">http://slimages.macys.com/is/image/MCY/11518009 </v>
      </c>
    </row>
    <row r="148" spans="1:11" ht="20.100000000000001" customHeight="1" x14ac:dyDescent="0.25">
      <c r="A148" s="13" t="s">
        <v>160</v>
      </c>
      <c r="B148" s="14">
        <v>13814657</v>
      </c>
      <c r="C148" s="20">
        <v>732995555134</v>
      </c>
      <c r="D148" s="6" t="s">
        <v>283</v>
      </c>
      <c r="E148" s="19">
        <v>1</v>
      </c>
      <c r="F148" s="15">
        <v>29.99</v>
      </c>
      <c r="G148" s="15">
        <v>29.99</v>
      </c>
      <c r="H148" s="7" t="s">
        <v>711</v>
      </c>
      <c r="I148" s="7" t="s">
        <v>692</v>
      </c>
      <c r="J148" s="7" t="s">
        <v>140</v>
      </c>
      <c r="K148" s="7" t="str">
        <f>HYPERLINK("http://slimages.macys.com/is/image/MCY/11518009 ")</f>
        <v xml:space="preserve">http://slimages.macys.com/is/image/MCY/11518009 </v>
      </c>
    </row>
    <row r="149" spans="1:11" ht="20.100000000000001" customHeight="1" x14ac:dyDescent="0.25">
      <c r="A149" s="13" t="s">
        <v>160</v>
      </c>
      <c r="B149" s="14">
        <v>13814657</v>
      </c>
      <c r="C149" s="20">
        <v>732995562965</v>
      </c>
      <c r="D149" s="6" t="s">
        <v>284</v>
      </c>
      <c r="E149" s="19">
        <v>1</v>
      </c>
      <c r="F149" s="15">
        <v>119.99</v>
      </c>
      <c r="G149" s="15">
        <v>119.99</v>
      </c>
      <c r="H149" s="7" t="s">
        <v>671</v>
      </c>
      <c r="I149" s="7" t="s">
        <v>797</v>
      </c>
      <c r="J149" s="7" t="s">
        <v>826</v>
      </c>
      <c r="K149" s="7" t="str">
        <f>HYPERLINK("http://slimages.macys.com/is/image/MCY/10656684 ")</f>
        <v xml:space="preserve">http://slimages.macys.com/is/image/MCY/10656684 </v>
      </c>
    </row>
    <row r="150" spans="1:11" ht="20.100000000000001" customHeight="1" x14ac:dyDescent="0.25">
      <c r="A150" s="13" t="s">
        <v>160</v>
      </c>
      <c r="B150" s="14">
        <v>13814657</v>
      </c>
      <c r="C150" s="20">
        <v>732995664058</v>
      </c>
      <c r="D150" s="6" t="s">
        <v>285</v>
      </c>
      <c r="E150" s="19">
        <v>1</v>
      </c>
      <c r="F150" s="15">
        <v>29.99</v>
      </c>
      <c r="G150" s="15">
        <v>29.99</v>
      </c>
      <c r="H150" s="7" t="s">
        <v>668</v>
      </c>
      <c r="I150" s="7" t="s">
        <v>797</v>
      </c>
      <c r="J150" s="7" t="s">
        <v>825</v>
      </c>
      <c r="K150" s="7" t="str">
        <f>HYPERLINK("http://slimages.macys.com/is/image/MCY/9938529 ")</f>
        <v xml:space="preserve">http://slimages.macys.com/is/image/MCY/9938529 </v>
      </c>
    </row>
    <row r="151" spans="1:11" ht="20.100000000000001" customHeight="1" x14ac:dyDescent="0.25">
      <c r="A151" s="13" t="s">
        <v>160</v>
      </c>
      <c r="B151" s="14">
        <v>13814657</v>
      </c>
      <c r="C151" s="20">
        <v>732995664065</v>
      </c>
      <c r="D151" s="6" t="s">
        <v>286</v>
      </c>
      <c r="E151" s="19">
        <v>1</v>
      </c>
      <c r="F151" s="15">
        <v>29.99</v>
      </c>
      <c r="G151" s="15">
        <v>29.99</v>
      </c>
      <c r="H151" s="7" t="s">
        <v>668</v>
      </c>
      <c r="I151" s="7" t="s">
        <v>797</v>
      </c>
      <c r="J151" s="7" t="s">
        <v>825</v>
      </c>
      <c r="K151" s="7" t="str">
        <f>HYPERLINK("http://slimages.macys.com/is/image/MCY/9938529 ")</f>
        <v xml:space="preserve">http://slimages.macys.com/is/image/MCY/9938529 </v>
      </c>
    </row>
    <row r="152" spans="1:11" ht="20.100000000000001" customHeight="1" x14ac:dyDescent="0.25">
      <c r="A152" s="13" t="s">
        <v>160</v>
      </c>
      <c r="B152" s="14">
        <v>13814657</v>
      </c>
      <c r="C152" s="20">
        <v>732995840643</v>
      </c>
      <c r="D152" s="6" t="s">
        <v>287</v>
      </c>
      <c r="E152" s="19">
        <v>1</v>
      </c>
      <c r="F152" s="15">
        <v>39.99</v>
      </c>
      <c r="G152" s="15">
        <v>39.99</v>
      </c>
      <c r="H152" s="7" t="s">
        <v>671</v>
      </c>
      <c r="I152" s="7" t="s">
        <v>692</v>
      </c>
      <c r="J152" s="7" t="s">
        <v>753</v>
      </c>
      <c r="K152" s="7" t="str">
        <f>HYPERLINK("http://slimages.macys.com/is/image/MCY/12739386 ")</f>
        <v xml:space="preserve">http://slimages.macys.com/is/image/MCY/12739386 </v>
      </c>
    </row>
    <row r="153" spans="1:11" ht="20.100000000000001" customHeight="1" x14ac:dyDescent="0.25">
      <c r="A153" s="13" t="s">
        <v>160</v>
      </c>
      <c r="B153" s="14">
        <v>13814657</v>
      </c>
      <c r="C153" s="20">
        <v>732995895520</v>
      </c>
      <c r="D153" s="6" t="s">
        <v>288</v>
      </c>
      <c r="E153" s="19">
        <v>1</v>
      </c>
      <c r="F153" s="15">
        <v>89.99</v>
      </c>
      <c r="G153" s="15">
        <v>89.99</v>
      </c>
      <c r="H153" s="7" t="s">
        <v>754</v>
      </c>
      <c r="I153" s="7" t="s">
        <v>680</v>
      </c>
      <c r="J153" s="7" t="s">
        <v>816</v>
      </c>
      <c r="K153" s="7" t="str">
        <f>HYPERLINK("http://slimages.macys.com/is/image/MCY/12354491 ")</f>
        <v xml:space="preserve">http://slimages.macys.com/is/image/MCY/12354491 </v>
      </c>
    </row>
    <row r="154" spans="1:11" ht="20.100000000000001" customHeight="1" x14ac:dyDescent="0.25">
      <c r="A154" s="13" t="s">
        <v>160</v>
      </c>
      <c r="B154" s="14">
        <v>13814657</v>
      </c>
      <c r="C154" s="20">
        <v>732997259962</v>
      </c>
      <c r="D154" s="6" t="s">
        <v>289</v>
      </c>
      <c r="E154" s="19">
        <v>1</v>
      </c>
      <c r="F154" s="15">
        <v>79.989999999999995</v>
      </c>
      <c r="G154" s="15">
        <v>79.989999999999995</v>
      </c>
      <c r="H154" s="7" t="s">
        <v>668</v>
      </c>
      <c r="I154" s="7" t="s">
        <v>680</v>
      </c>
      <c r="J154" s="7" t="s">
        <v>816</v>
      </c>
      <c r="K154" s="7" t="str">
        <f>HYPERLINK("http://slimages.macys.com/is/image/MCY/14788492 ")</f>
        <v xml:space="preserve">http://slimages.macys.com/is/image/MCY/14788492 </v>
      </c>
    </row>
    <row r="155" spans="1:11" ht="20.100000000000001" customHeight="1" x14ac:dyDescent="0.25">
      <c r="A155" s="13" t="s">
        <v>160</v>
      </c>
      <c r="B155" s="14">
        <v>13814657</v>
      </c>
      <c r="C155" s="20">
        <v>732997494042</v>
      </c>
      <c r="D155" s="6" t="s">
        <v>290</v>
      </c>
      <c r="E155" s="19">
        <v>1</v>
      </c>
      <c r="F155" s="15">
        <v>129.99</v>
      </c>
      <c r="G155" s="15">
        <v>129.99</v>
      </c>
      <c r="H155" s="7" t="s">
        <v>711</v>
      </c>
      <c r="I155" s="7" t="s">
        <v>692</v>
      </c>
      <c r="J155" s="7" t="s">
        <v>693</v>
      </c>
      <c r="K155" s="7" t="str">
        <f>HYPERLINK("http://slimages.macys.com/is/image/MCY/15389610 ")</f>
        <v xml:space="preserve">http://slimages.macys.com/is/image/MCY/15389610 </v>
      </c>
    </row>
    <row r="156" spans="1:11" ht="20.100000000000001" customHeight="1" x14ac:dyDescent="0.25">
      <c r="A156" s="13" t="s">
        <v>160</v>
      </c>
      <c r="B156" s="14">
        <v>13814657</v>
      </c>
      <c r="C156" s="20">
        <v>732997906491</v>
      </c>
      <c r="D156" s="6" t="s">
        <v>1114</v>
      </c>
      <c r="E156" s="19">
        <v>2</v>
      </c>
      <c r="F156" s="15">
        <v>79.989999999999995</v>
      </c>
      <c r="G156" s="15">
        <v>159.97999999999999</v>
      </c>
      <c r="H156" s="7" t="s">
        <v>807</v>
      </c>
      <c r="I156" s="7" t="s">
        <v>680</v>
      </c>
      <c r="J156" s="7" t="s">
        <v>733</v>
      </c>
      <c r="K156" s="7" t="str">
        <f>HYPERLINK("http://slimages.macys.com/is/image/MCY/15767051 ")</f>
        <v xml:space="preserve">http://slimages.macys.com/is/image/MCY/15767051 </v>
      </c>
    </row>
    <row r="157" spans="1:11" ht="20.100000000000001" customHeight="1" x14ac:dyDescent="0.25">
      <c r="A157" s="13" t="s">
        <v>160</v>
      </c>
      <c r="B157" s="14">
        <v>13814657</v>
      </c>
      <c r="C157" s="20">
        <v>732998000211</v>
      </c>
      <c r="D157" s="6" t="s">
        <v>1116</v>
      </c>
      <c r="E157" s="19">
        <v>1</v>
      </c>
      <c r="F157" s="15">
        <v>19.989999999999998</v>
      </c>
      <c r="G157" s="15">
        <v>19.989999999999998</v>
      </c>
      <c r="H157" s="7" t="s">
        <v>668</v>
      </c>
      <c r="I157" s="7" t="s">
        <v>777</v>
      </c>
      <c r="J157" s="7" t="s">
        <v>800</v>
      </c>
      <c r="K157" s="7" t="str">
        <f>HYPERLINK("http://slimages.macys.com/is/image/MCY/15709914 ")</f>
        <v xml:space="preserve">http://slimages.macys.com/is/image/MCY/15709914 </v>
      </c>
    </row>
    <row r="158" spans="1:11" ht="20.100000000000001" customHeight="1" x14ac:dyDescent="0.25">
      <c r="A158" s="13" t="s">
        <v>160</v>
      </c>
      <c r="B158" s="14">
        <v>13814657</v>
      </c>
      <c r="C158" s="20">
        <v>732998123231</v>
      </c>
      <c r="D158" s="6" t="s">
        <v>291</v>
      </c>
      <c r="E158" s="19">
        <v>1</v>
      </c>
      <c r="F158" s="15">
        <v>249.99</v>
      </c>
      <c r="G158" s="15">
        <v>249.99</v>
      </c>
      <c r="H158" s="7" t="s">
        <v>691</v>
      </c>
      <c r="I158" s="7" t="s">
        <v>680</v>
      </c>
      <c r="J158" s="7" t="s">
        <v>817</v>
      </c>
      <c r="K158" s="7" t="str">
        <f>HYPERLINK("http://slimages.macys.com/is/image/MCY/15924247 ")</f>
        <v xml:space="preserve">http://slimages.macys.com/is/image/MCY/15924247 </v>
      </c>
    </row>
    <row r="159" spans="1:11" ht="20.100000000000001" customHeight="1" x14ac:dyDescent="0.25">
      <c r="A159" s="13" t="s">
        <v>160</v>
      </c>
      <c r="B159" s="14">
        <v>13814657</v>
      </c>
      <c r="C159" s="20">
        <v>732998216261</v>
      </c>
      <c r="D159" s="6" t="s">
        <v>957</v>
      </c>
      <c r="E159" s="19">
        <v>1</v>
      </c>
      <c r="F159" s="15">
        <v>149.99</v>
      </c>
      <c r="G159" s="15">
        <v>149.99</v>
      </c>
      <c r="H159" s="7" t="s">
        <v>701</v>
      </c>
      <c r="I159" s="7" t="s">
        <v>692</v>
      </c>
      <c r="J159" s="7" t="s">
        <v>693</v>
      </c>
      <c r="K159" s="7" t="str">
        <f>HYPERLINK("http://slimages.macys.com/is/image/MCY/14883564 ")</f>
        <v xml:space="preserve">http://slimages.macys.com/is/image/MCY/14883564 </v>
      </c>
    </row>
    <row r="160" spans="1:11" ht="20.100000000000001" customHeight="1" x14ac:dyDescent="0.25">
      <c r="A160" s="13" t="s">
        <v>160</v>
      </c>
      <c r="B160" s="14">
        <v>13814657</v>
      </c>
      <c r="C160" s="20">
        <v>732998330318</v>
      </c>
      <c r="D160" s="6" t="s">
        <v>292</v>
      </c>
      <c r="E160" s="19">
        <v>1</v>
      </c>
      <c r="F160" s="15">
        <v>99.99</v>
      </c>
      <c r="G160" s="15">
        <v>99.99</v>
      </c>
      <c r="H160" s="7" t="s">
        <v>668</v>
      </c>
      <c r="I160" s="7" t="s">
        <v>680</v>
      </c>
      <c r="J160" s="7" t="s">
        <v>733</v>
      </c>
      <c r="K160" s="7" t="str">
        <f>HYPERLINK("http://slimages.macys.com/is/image/MCY/16381614 ")</f>
        <v xml:space="preserve">http://slimages.macys.com/is/image/MCY/16381614 </v>
      </c>
    </row>
    <row r="161" spans="1:11" ht="20.100000000000001" customHeight="1" x14ac:dyDescent="0.25">
      <c r="A161" s="13" t="s">
        <v>160</v>
      </c>
      <c r="B161" s="14">
        <v>13814657</v>
      </c>
      <c r="C161" s="20">
        <v>732998350293</v>
      </c>
      <c r="D161" s="6" t="s">
        <v>293</v>
      </c>
      <c r="E161" s="19">
        <v>1</v>
      </c>
      <c r="F161" s="15">
        <v>99.99</v>
      </c>
      <c r="G161" s="15">
        <v>99.99</v>
      </c>
      <c r="H161" s="7" t="s">
        <v>742</v>
      </c>
      <c r="I161" s="7" t="s">
        <v>741</v>
      </c>
      <c r="J161" s="7" t="s">
        <v>790</v>
      </c>
      <c r="K161" s="7" t="str">
        <f>HYPERLINK("http://slimages.macys.com/is/image/MCY/16533936 ")</f>
        <v xml:space="preserve">http://slimages.macys.com/is/image/MCY/16533936 </v>
      </c>
    </row>
    <row r="162" spans="1:11" ht="20.100000000000001" customHeight="1" x14ac:dyDescent="0.25">
      <c r="A162" s="13" t="s">
        <v>160</v>
      </c>
      <c r="B162" s="14">
        <v>13814657</v>
      </c>
      <c r="C162" s="20">
        <v>732998408680</v>
      </c>
      <c r="D162" s="6" t="s">
        <v>294</v>
      </c>
      <c r="E162" s="19">
        <v>1</v>
      </c>
      <c r="F162" s="15">
        <v>99.99</v>
      </c>
      <c r="G162" s="15">
        <v>99.99</v>
      </c>
      <c r="H162" s="7" t="s">
        <v>676</v>
      </c>
      <c r="I162" s="7" t="s">
        <v>808</v>
      </c>
      <c r="J162" s="7" t="s">
        <v>809</v>
      </c>
      <c r="K162" s="7" t="str">
        <f>HYPERLINK("http://slimages.macys.com/is/image/MCY/16093917 ")</f>
        <v xml:space="preserve">http://slimages.macys.com/is/image/MCY/16093917 </v>
      </c>
    </row>
    <row r="163" spans="1:11" ht="20.100000000000001" customHeight="1" x14ac:dyDescent="0.25">
      <c r="A163" s="13" t="s">
        <v>160</v>
      </c>
      <c r="B163" s="14">
        <v>13814657</v>
      </c>
      <c r="C163" s="20">
        <v>732998761969</v>
      </c>
      <c r="D163" s="6" t="s">
        <v>937</v>
      </c>
      <c r="E163" s="19">
        <v>2</v>
      </c>
      <c r="F163" s="15">
        <v>79.989999999999995</v>
      </c>
      <c r="G163" s="15">
        <v>159.97999999999999</v>
      </c>
      <c r="H163" s="7" t="s">
        <v>749</v>
      </c>
      <c r="I163" s="7" t="s">
        <v>692</v>
      </c>
      <c r="J163" s="7" t="s">
        <v>753</v>
      </c>
      <c r="K163" s="7" t="str">
        <f>HYPERLINK("http://slimages.macys.com/is/image/MCY/16380271 ")</f>
        <v xml:space="preserve">http://slimages.macys.com/is/image/MCY/16380271 </v>
      </c>
    </row>
    <row r="164" spans="1:11" ht="20.100000000000001" customHeight="1" x14ac:dyDescent="0.25">
      <c r="A164" s="13" t="s">
        <v>160</v>
      </c>
      <c r="B164" s="14">
        <v>13814657</v>
      </c>
      <c r="C164" s="20">
        <v>732998768111</v>
      </c>
      <c r="D164" s="6" t="s">
        <v>910</v>
      </c>
      <c r="E164" s="19">
        <v>4</v>
      </c>
      <c r="F164" s="15">
        <v>5.99</v>
      </c>
      <c r="G164" s="15">
        <v>23.96</v>
      </c>
      <c r="H164" s="7" t="s">
        <v>807</v>
      </c>
      <c r="I164" s="7" t="s">
        <v>694</v>
      </c>
      <c r="J164" s="7" t="s">
        <v>712</v>
      </c>
      <c r="K164" s="7" t="str">
        <f>HYPERLINK("http://slimages.macys.com/is/image/MCY/16520310 ")</f>
        <v xml:space="preserve">http://slimages.macys.com/is/image/MCY/16520310 </v>
      </c>
    </row>
    <row r="165" spans="1:11" ht="20.100000000000001" customHeight="1" x14ac:dyDescent="0.25">
      <c r="A165" s="13" t="s">
        <v>160</v>
      </c>
      <c r="B165" s="14">
        <v>13814657</v>
      </c>
      <c r="C165" s="20">
        <v>732998768173</v>
      </c>
      <c r="D165" s="6" t="s">
        <v>295</v>
      </c>
      <c r="E165" s="19">
        <v>2</v>
      </c>
      <c r="F165" s="15">
        <v>4.99</v>
      </c>
      <c r="G165" s="15">
        <v>9.98</v>
      </c>
      <c r="H165" s="7" t="s">
        <v>807</v>
      </c>
      <c r="I165" s="7" t="s">
        <v>694</v>
      </c>
      <c r="J165" s="7" t="s">
        <v>712</v>
      </c>
      <c r="K165" s="7" t="str">
        <f>HYPERLINK("http://slimages.macys.com/is/image/MCY/16520233 ")</f>
        <v xml:space="preserve">http://slimages.macys.com/is/image/MCY/16520233 </v>
      </c>
    </row>
    <row r="166" spans="1:11" ht="20.100000000000001" customHeight="1" x14ac:dyDescent="0.25">
      <c r="A166" s="13" t="s">
        <v>160</v>
      </c>
      <c r="B166" s="14">
        <v>13814657</v>
      </c>
      <c r="C166" s="20">
        <v>732998768210</v>
      </c>
      <c r="D166" s="6" t="s">
        <v>296</v>
      </c>
      <c r="E166" s="19">
        <v>3</v>
      </c>
      <c r="F166" s="15">
        <v>4.99</v>
      </c>
      <c r="G166" s="15">
        <v>14.97</v>
      </c>
      <c r="H166" s="7" t="s">
        <v>691</v>
      </c>
      <c r="I166" s="7" t="s">
        <v>694</v>
      </c>
      <c r="J166" s="7" t="s">
        <v>712</v>
      </c>
      <c r="K166" s="7" t="str">
        <f>HYPERLINK("http://slimages.macys.com/is/image/MCY/16520233 ")</f>
        <v xml:space="preserve">http://slimages.macys.com/is/image/MCY/16520233 </v>
      </c>
    </row>
    <row r="167" spans="1:11" ht="20.100000000000001" customHeight="1" x14ac:dyDescent="0.25">
      <c r="A167" s="13" t="s">
        <v>160</v>
      </c>
      <c r="B167" s="14">
        <v>13814657</v>
      </c>
      <c r="C167" s="20">
        <v>732998768234</v>
      </c>
      <c r="D167" s="6" t="s">
        <v>297</v>
      </c>
      <c r="E167" s="19">
        <v>2</v>
      </c>
      <c r="F167" s="15">
        <v>2.99</v>
      </c>
      <c r="G167" s="15">
        <v>5.98</v>
      </c>
      <c r="H167" s="7" t="s">
        <v>807</v>
      </c>
      <c r="I167" s="7" t="s">
        <v>694</v>
      </c>
      <c r="J167" s="7" t="s">
        <v>712</v>
      </c>
      <c r="K167" s="7" t="str">
        <f>HYPERLINK("http://slimages.macys.com/is/image/MCY/16520272 ")</f>
        <v xml:space="preserve">http://slimages.macys.com/is/image/MCY/16520272 </v>
      </c>
    </row>
    <row r="168" spans="1:11" ht="20.100000000000001" customHeight="1" x14ac:dyDescent="0.25">
      <c r="A168" s="13" t="s">
        <v>160</v>
      </c>
      <c r="B168" s="14">
        <v>13814657</v>
      </c>
      <c r="C168" s="20">
        <v>732998868071</v>
      </c>
      <c r="D168" s="6" t="s">
        <v>298</v>
      </c>
      <c r="E168" s="19">
        <v>1</v>
      </c>
      <c r="F168" s="15">
        <v>119.99</v>
      </c>
      <c r="G168" s="15">
        <v>119.99</v>
      </c>
      <c r="H168" s="7" t="s">
        <v>707</v>
      </c>
      <c r="I168" s="7" t="s">
        <v>797</v>
      </c>
      <c r="J168" s="7" t="s">
        <v>826</v>
      </c>
      <c r="K168" s="7" t="str">
        <f>HYPERLINK("http://slimages.macys.com/is/image/MCY/16334138 ")</f>
        <v xml:space="preserve">http://slimages.macys.com/is/image/MCY/16334138 </v>
      </c>
    </row>
    <row r="169" spans="1:11" ht="20.100000000000001" customHeight="1" x14ac:dyDescent="0.25">
      <c r="A169" s="13" t="s">
        <v>160</v>
      </c>
      <c r="B169" s="14">
        <v>13814657</v>
      </c>
      <c r="C169" s="20">
        <v>732999290260</v>
      </c>
      <c r="D169" s="6" t="s">
        <v>885</v>
      </c>
      <c r="E169" s="19">
        <v>1</v>
      </c>
      <c r="F169" s="15">
        <v>69.989999999999995</v>
      </c>
      <c r="G169" s="15">
        <v>69.989999999999995</v>
      </c>
      <c r="H169" s="7" t="s">
        <v>754</v>
      </c>
      <c r="I169" s="7" t="s">
        <v>680</v>
      </c>
      <c r="J169" s="7" t="s">
        <v>817</v>
      </c>
      <c r="K169" s="7" t="str">
        <f>HYPERLINK("http://slimages.macys.com/is/image/MCY/17106575 ")</f>
        <v xml:space="preserve">http://slimages.macys.com/is/image/MCY/17106575 </v>
      </c>
    </row>
    <row r="170" spans="1:11" ht="20.100000000000001" customHeight="1" x14ac:dyDescent="0.25">
      <c r="A170" s="13" t="s">
        <v>160</v>
      </c>
      <c r="B170" s="14">
        <v>13814657</v>
      </c>
      <c r="C170" s="20">
        <v>732999361458</v>
      </c>
      <c r="D170" s="6" t="s">
        <v>299</v>
      </c>
      <c r="E170" s="19">
        <v>1</v>
      </c>
      <c r="F170" s="15">
        <v>149.99</v>
      </c>
      <c r="G170" s="15">
        <v>149.99</v>
      </c>
      <c r="H170" s="7" t="s">
        <v>668</v>
      </c>
      <c r="I170" s="7" t="s">
        <v>692</v>
      </c>
      <c r="J170" s="7" t="s">
        <v>753</v>
      </c>
      <c r="K170" s="7" t="str">
        <f>HYPERLINK("http://slimages.macys.com/is/image/MCY/17424765 ")</f>
        <v xml:space="preserve">http://slimages.macys.com/is/image/MCY/17424765 </v>
      </c>
    </row>
    <row r="171" spans="1:11" ht="20.100000000000001" customHeight="1" x14ac:dyDescent="0.25">
      <c r="A171" s="13" t="s">
        <v>160</v>
      </c>
      <c r="B171" s="14">
        <v>13814657</v>
      </c>
      <c r="C171" s="20">
        <v>732999521593</v>
      </c>
      <c r="D171" s="6" t="s">
        <v>1121</v>
      </c>
      <c r="E171" s="19">
        <v>1</v>
      </c>
      <c r="F171" s="15">
        <v>249.99</v>
      </c>
      <c r="G171" s="15">
        <v>249.99</v>
      </c>
      <c r="H171" s="7" t="s">
        <v>668</v>
      </c>
      <c r="I171" s="7" t="s">
        <v>680</v>
      </c>
      <c r="J171" s="7" t="s">
        <v>811</v>
      </c>
      <c r="K171" s="7" t="str">
        <f>HYPERLINK("http://slimages.macys.com/is/image/MCY/17481079 ")</f>
        <v xml:space="preserve">http://slimages.macys.com/is/image/MCY/17481079 </v>
      </c>
    </row>
    <row r="172" spans="1:11" ht="20.100000000000001" customHeight="1" x14ac:dyDescent="0.25">
      <c r="A172" s="13" t="s">
        <v>160</v>
      </c>
      <c r="B172" s="14">
        <v>13814657</v>
      </c>
      <c r="C172" s="20">
        <v>732999785070</v>
      </c>
      <c r="D172" s="6" t="s">
        <v>1129</v>
      </c>
      <c r="E172" s="19">
        <v>1</v>
      </c>
      <c r="F172" s="15">
        <v>149.99</v>
      </c>
      <c r="G172" s="15">
        <v>149.99</v>
      </c>
      <c r="H172" s="7" t="s">
        <v>668</v>
      </c>
      <c r="I172" s="7" t="s">
        <v>777</v>
      </c>
      <c r="J172" s="7" t="s">
        <v>838</v>
      </c>
      <c r="K172" s="7" t="str">
        <f>HYPERLINK("http://slimages.macys.com/is/image/MCY/17576398 ")</f>
        <v xml:space="preserve">http://slimages.macys.com/is/image/MCY/17576398 </v>
      </c>
    </row>
    <row r="173" spans="1:11" ht="20.100000000000001" customHeight="1" x14ac:dyDescent="0.25">
      <c r="A173" s="13" t="s">
        <v>160</v>
      </c>
      <c r="B173" s="14">
        <v>13814657</v>
      </c>
      <c r="C173" s="20">
        <v>732999788071</v>
      </c>
      <c r="D173" s="6" t="s">
        <v>300</v>
      </c>
      <c r="E173" s="19">
        <v>1</v>
      </c>
      <c r="F173" s="15">
        <v>12.99</v>
      </c>
      <c r="G173" s="15">
        <v>12.99</v>
      </c>
      <c r="H173" s="7" t="s">
        <v>668</v>
      </c>
      <c r="I173" s="7" t="s">
        <v>694</v>
      </c>
      <c r="J173" s="7" t="s">
        <v>825</v>
      </c>
      <c r="K173" s="7" t="str">
        <f>HYPERLINK("http://slimages.macys.com/is/image/MCY/18819198 ")</f>
        <v xml:space="preserve">http://slimages.macys.com/is/image/MCY/18819198 </v>
      </c>
    </row>
    <row r="174" spans="1:11" ht="20.100000000000001" customHeight="1" x14ac:dyDescent="0.25">
      <c r="A174" s="13" t="s">
        <v>160</v>
      </c>
      <c r="B174" s="14">
        <v>13814657</v>
      </c>
      <c r="C174" s="20">
        <v>732999819744</v>
      </c>
      <c r="D174" s="6" t="s">
        <v>301</v>
      </c>
      <c r="E174" s="19">
        <v>1</v>
      </c>
      <c r="F174" s="15">
        <v>119.99</v>
      </c>
      <c r="G174" s="15">
        <v>119.99</v>
      </c>
      <c r="H174" s="7" t="s">
        <v>676</v>
      </c>
      <c r="I174" s="7" t="s">
        <v>797</v>
      </c>
      <c r="J174" s="7" t="s">
        <v>825</v>
      </c>
      <c r="K174" s="7" t="str">
        <f>HYPERLINK("http://slimages.macys.com/is/image/MCY/17451493 ")</f>
        <v xml:space="preserve">http://slimages.macys.com/is/image/MCY/17451493 </v>
      </c>
    </row>
    <row r="175" spans="1:11" ht="20.100000000000001" customHeight="1" x14ac:dyDescent="0.25">
      <c r="A175" s="13" t="s">
        <v>160</v>
      </c>
      <c r="B175" s="14">
        <v>13814657</v>
      </c>
      <c r="C175" s="20">
        <v>732999832934</v>
      </c>
      <c r="D175" s="6" t="s">
        <v>302</v>
      </c>
      <c r="E175" s="19">
        <v>1</v>
      </c>
      <c r="F175" s="15">
        <v>99.99</v>
      </c>
      <c r="G175" s="15">
        <v>99.99</v>
      </c>
      <c r="H175" s="7" t="s">
        <v>823</v>
      </c>
      <c r="I175" s="7" t="s">
        <v>808</v>
      </c>
      <c r="J175" s="7" t="s">
        <v>809</v>
      </c>
      <c r="K175" s="7" t="str">
        <f>HYPERLINK("http://slimages.macys.com/is/image/MCY/17450404 ")</f>
        <v xml:space="preserve">http://slimages.macys.com/is/image/MCY/17450404 </v>
      </c>
    </row>
    <row r="176" spans="1:11" ht="20.100000000000001" customHeight="1" x14ac:dyDescent="0.25">
      <c r="A176" s="13" t="s">
        <v>160</v>
      </c>
      <c r="B176" s="14">
        <v>13814657</v>
      </c>
      <c r="C176" s="20">
        <v>732999832965</v>
      </c>
      <c r="D176" s="6" t="s">
        <v>303</v>
      </c>
      <c r="E176" s="19">
        <v>2</v>
      </c>
      <c r="F176" s="15">
        <v>78.11</v>
      </c>
      <c r="G176" s="15">
        <v>156.22</v>
      </c>
      <c r="H176" s="7"/>
      <c r="I176" s="7" t="s">
        <v>808</v>
      </c>
      <c r="J176" s="7" t="s">
        <v>809</v>
      </c>
      <c r="K176" s="7" t="str">
        <f>HYPERLINK("http://slimages.macys.com/is/image/MCY/17450413 ")</f>
        <v xml:space="preserve">http://slimages.macys.com/is/image/MCY/17450413 </v>
      </c>
    </row>
    <row r="177" spans="1:11" ht="20.100000000000001" customHeight="1" x14ac:dyDescent="0.25">
      <c r="A177" s="13" t="s">
        <v>160</v>
      </c>
      <c r="B177" s="14">
        <v>13814657</v>
      </c>
      <c r="C177" s="20">
        <v>732999837168</v>
      </c>
      <c r="D177" s="6" t="s">
        <v>870</v>
      </c>
      <c r="E177" s="19">
        <v>1</v>
      </c>
      <c r="F177" s="15">
        <v>119.99</v>
      </c>
      <c r="G177" s="15">
        <v>119.99</v>
      </c>
      <c r="H177" s="7" t="s">
        <v>668</v>
      </c>
      <c r="I177" s="7" t="s">
        <v>730</v>
      </c>
      <c r="J177" s="7" t="s">
        <v>871</v>
      </c>
      <c r="K177" s="7" t="str">
        <f>HYPERLINK("http://slimages.macys.com/is/image/MCY/17565927 ")</f>
        <v xml:space="preserve">http://slimages.macys.com/is/image/MCY/17565927 </v>
      </c>
    </row>
    <row r="178" spans="1:11" ht="20.100000000000001" customHeight="1" x14ac:dyDescent="0.25">
      <c r="A178" s="13" t="s">
        <v>160</v>
      </c>
      <c r="B178" s="14">
        <v>13814657</v>
      </c>
      <c r="C178" s="20">
        <v>732999837588</v>
      </c>
      <c r="D178" s="6" t="s">
        <v>304</v>
      </c>
      <c r="E178" s="19">
        <v>1</v>
      </c>
      <c r="F178" s="15">
        <v>64.989999999999995</v>
      </c>
      <c r="G178" s="15">
        <v>64.989999999999995</v>
      </c>
      <c r="H178" s="7" t="s">
        <v>807</v>
      </c>
      <c r="I178" s="7" t="s">
        <v>904</v>
      </c>
      <c r="J178" s="7" t="s">
        <v>153</v>
      </c>
      <c r="K178" s="7" t="str">
        <f>HYPERLINK("http://slimages.macys.com/is/image/MCY/14337696 ")</f>
        <v xml:space="preserve">http://slimages.macys.com/is/image/MCY/14337696 </v>
      </c>
    </row>
    <row r="179" spans="1:11" ht="20.100000000000001" customHeight="1" x14ac:dyDescent="0.25">
      <c r="A179" s="13" t="s">
        <v>160</v>
      </c>
      <c r="B179" s="14">
        <v>13814657</v>
      </c>
      <c r="C179" s="20">
        <v>733001039518</v>
      </c>
      <c r="D179" s="6" t="s">
        <v>305</v>
      </c>
      <c r="E179" s="19">
        <v>1</v>
      </c>
      <c r="F179" s="15">
        <v>29.99</v>
      </c>
      <c r="G179" s="15">
        <v>29.99</v>
      </c>
      <c r="H179" s="7" t="s">
        <v>823</v>
      </c>
      <c r="I179" s="7" t="s">
        <v>808</v>
      </c>
      <c r="J179" s="7" t="s">
        <v>146</v>
      </c>
      <c r="K179" s="7" t="str">
        <f>HYPERLINK("http://slimages.macys.com/is/image/MCY/14601007 ")</f>
        <v xml:space="preserve">http://slimages.macys.com/is/image/MCY/14601007 </v>
      </c>
    </row>
    <row r="180" spans="1:11" ht="20.100000000000001" customHeight="1" x14ac:dyDescent="0.25">
      <c r="A180" s="13" t="s">
        <v>160</v>
      </c>
      <c r="B180" s="14">
        <v>13814657</v>
      </c>
      <c r="C180" s="20">
        <v>733001039884</v>
      </c>
      <c r="D180" s="6" t="s">
        <v>306</v>
      </c>
      <c r="E180" s="19">
        <v>1</v>
      </c>
      <c r="F180" s="15">
        <v>119.99</v>
      </c>
      <c r="G180" s="15">
        <v>119.99</v>
      </c>
      <c r="H180" s="7" t="s">
        <v>677</v>
      </c>
      <c r="I180" s="7" t="s">
        <v>808</v>
      </c>
      <c r="J180" s="7" t="s">
        <v>146</v>
      </c>
      <c r="K180" s="7" t="str">
        <f>HYPERLINK("http://slimages.macys.com/is/image/MCY/9939883 ")</f>
        <v xml:space="preserve">http://slimages.macys.com/is/image/MCY/9939883 </v>
      </c>
    </row>
    <row r="181" spans="1:11" ht="20.100000000000001" customHeight="1" x14ac:dyDescent="0.25">
      <c r="A181" s="13" t="s">
        <v>160</v>
      </c>
      <c r="B181" s="14">
        <v>13814657</v>
      </c>
      <c r="C181" s="20">
        <v>733001092827</v>
      </c>
      <c r="D181" s="6" t="s">
        <v>307</v>
      </c>
      <c r="E181" s="19">
        <v>2</v>
      </c>
      <c r="F181" s="15">
        <v>299.99</v>
      </c>
      <c r="G181" s="15">
        <v>599.98</v>
      </c>
      <c r="H181" s="7" t="s">
        <v>668</v>
      </c>
      <c r="I181" s="7" t="s">
        <v>680</v>
      </c>
      <c r="J181" s="7" t="s">
        <v>816</v>
      </c>
      <c r="K181" s="7" t="str">
        <f>HYPERLINK("http://slimages.macys.com/is/image/MCY/18289943 ")</f>
        <v xml:space="preserve">http://slimages.macys.com/is/image/MCY/18289943 </v>
      </c>
    </row>
    <row r="182" spans="1:11" ht="20.100000000000001" customHeight="1" x14ac:dyDescent="0.25">
      <c r="A182" s="13" t="s">
        <v>160</v>
      </c>
      <c r="B182" s="14">
        <v>13814657</v>
      </c>
      <c r="C182" s="20">
        <v>733001230052</v>
      </c>
      <c r="D182" s="6" t="s">
        <v>308</v>
      </c>
      <c r="E182" s="19">
        <v>1</v>
      </c>
      <c r="F182" s="15">
        <v>99.99</v>
      </c>
      <c r="G182" s="15">
        <v>99.99</v>
      </c>
      <c r="H182" s="7" t="s">
        <v>676</v>
      </c>
      <c r="I182" s="7" t="s">
        <v>808</v>
      </c>
      <c r="J182" s="7" t="s">
        <v>809</v>
      </c>
      <c r="K182" s="7" t="str">
        <f>HYPERLINK("http://slimages.macys.com/is/image/MCY/17440187 ")</f>
        <v xml:space="preserve">http://slimages.macys.com/is/image/MCY/17440187 </v>
      </c>
    </row>
    <row r="183" spans="1:11" ht="20.100000000000001" customHeight="1" x14ac:dyDescent="0.25">
      <c r="A183" s="13" t="s">
        <v>160</v>
      </c>
      <c r="B183" s="14">
        <v>13814657</v>
      </c>
      <c r="C183" s="20">
        <v>733001259473</v>
      </c>
      <c r="D183" s="6" t="s">
        <v>309</v>
      </c>
      <c r="E183" s="19">
        <v>1</v>
      </c>
      <c r="F183" s="15">
        <v>29.99</v>
      </c>
      <c r="G183" s="15">
        <v>29.99</v>
      </c>
      <c r="H183" s="7" t="s">
        <v>732</v>
      </c>
      <c r="I183" s="7" t="s">
        <v>694</v>
      </c>
      <c r="J183" s="7" t="s">
        <v>832</v>
      </c>
      <c r="K183" s="7" t="str">
        <f>HYPERLINK("http://slimages.macys.com/is/image/MCY/17798892 ")</f>
        <v xml:space="preserve">http://slimages.macys.com/is/image/MCY/17798892 </v>
      </c>
    </row>
    <row r="184" spans="1:11" ht="20.100000000000001" customHeight="1" x14ac:dyDescent="0.25">
      <c r="A184" s="13" t="s">
        <v>160</v>
      </c>
      <c r="B184" s="14">
        <v>13814657</v>
      </c>
      <c r="C184" s="20">
        <v>733001335054</v>
      </c>
      <c r="D184" s="6" t="s">
        <v>310</v>
      </c>
      <c r="E184" s="19">
        <v>1</v>
      </c>
      <c r="F184" s="15">
        <v>119.99</v>
      </c>
      <c r="G184" s="15">
        <v>119.99</v>
      </c>
      <c r="H184" s="7" t="s">
        <v>759</v>
      </c>
      <c r="I184" s="7" t="s">
        <v>797</v>
      </c>
      <c r="J184" s="7" t="s">
        <v>826</v>
      </c>
      <c r="K184" s="7" t="str">
        <f>HYPERLINK("http://slimages.macys.com/is/image/MCY/18491886 ")</f>
        <v xml:space="preserve">http://slimages.macys.com/is/image/MCY/18491886 </v>
      </c>
    </row>
    <row r="185" spans="1:11" ht="20.100000000000001" customHeight="1" x14ac:dyDescent="0.25">
      <c r="A185" s="13" t="s">
        <v>160</v>
      </c>
      <c r="B185" s="14">
        <v>13814657</v>
      </c>
      <c r="C185" s="20">
        <v>733001348757</v>
      </c>
      <c r="D185" s="6" t="s">
        <v>311</v>
      </c>
      <c r="E185" s="19">
        <v>1</v>
      </c>
      <c r="F185" s="15">
        <v>64.989999999999995</v>
      </c>
      <c r="G185" s="15">
        <v>64.989999999999995</v>
      </c>
      <c r="H185" s="7" t="s">
        <v>766</v>
      </c>
      <c r="I185" s="7" t="s">
        <v>904</v>
      </c>
      <c r="J185" s="7" t="s">
        <v>153</v>
      </c>
      <c r="K185" s="7" t="str">
        <f>HYPERLINK("http://slimages.macys.com/is/image/MCY/17902265 ")</f>
        <v xml:space="preserve">http://slimages.macys.com/is/image/MCY/17902265 </v>
      </c>
    </row>
    <row r="186" spans="1:11" ht="20.100000000000001" customHeight="1" x14ac:dyDescent="0.25">
      <c r="A186" s="13" t="s">
        <v>160</v>
      </c>
      <c r="B186" s="14">
        <v>13814657</v>
      </c>
      <c r="C186" s="20">
        <v>733001362944</v>
      </c>
      <c r="D186" s="6" t="s">
        <v>312</v>
      </c>
      <c r="E186" s="19">
        <v>1</v>
      </c>
      <c r="F186" s="15">
        <v>59.99</v>
      </c>
      <c r="G186" s="15">
        <v>59.99</v>
      </c>
      <c r="H186" s="7" t="s">
        <v>762</v>
      </c>
      <c r="I186" s="7" t="s">
        <v>808</v>
      </c>
      <c r="J186" s="7" t="s">
        <v>809</v>
      </c>
      <c r="K186" s="7" t="str">
        <f>HYPERLINK("http://slimages.macys.com/is/image/MCY/17773226 ")</f>
        <v xml:space="preserve">http://slimages.macys.com/is/image/MCY/17773226 </v>
      </c>
    </row>
    <row r="187" spans="1:11" ht="20.100000000000001" customHeight="1" x14ac:dyDescent="0.25">
      <c r="A187" s="13" t="s">
        <v>160</v>
      </c>
      <c r="B187" s="14">
        <v>13814657</v>
      </c>
      <c r="C187" s="20">
        <v>733001487388</v>
      </c>
      <c r="D187" s="6" t="s">
        <v>313</v>
      </c>
      <c r="E187" s="19">
        <v>1</v>
      </c>
      <c r="F187" s="15">
        <v>39.99</v>
      </c>
      <c r="G187" s="15">
        <v>39.99</v>
      </c>
      <c r="H187" s="7" t="s">
        <v>677</v>
      </c>
      <c r="I187" s="7" t="s">
        <v>741</v>
      </c>
      <c r="J187" s="7" t="s">
        <v>790</v>
      </c>
      <c r="K187" s="7" t="str">
        <f>HYPERLINK("http://slimages.macys.com/is/image/MCY/15711399 ")</f>
        <v xml:space="preserve">http://slimages.macys.com/is/image/MCY/15711399 </v>
      </c>
    </row>
    <row r="188" spans="1:11" ht="20.100000000000001" customHeight="1" x14ac:dyDescent="0.25">
      <c r="A188" s="13" t="s">
        <v>160</v>
      </c>
      <c r="B188" s="14">
        <v>13814657</v>
      </c>
      <c r="C188" s="20">
        <v>733001487661</v>
      </c>
      <c r="D188" s="6" t="s">
        <v>314</v>
      </c>
      <c r="E188" s="19">
        <v>1</v>
      </c>
      <c r="F188" s="15">
        <v>59.99</v>
      </c>
      <c r="G188" s="15">
        <v>59.99</v>
      </c>
      <c r="H188" s="7" t="s">
        <v>677</v>
      </c>
      <c r="I188" s="7" t="s">
        <v>741</v>
      </c>
      <c r="J188" s="7" t="s">
        <v>790</v>
      </c>
      <c r="K188" s="7" t="str">
        <f>HYPERLINK("http://slimages.macys.com/is/image/MCY/17667941 ")</f>
        <v xml:space="preserve">http://slimages.macys.com/is/image/MCY/17667941 </v>
      </c>
    </row>
    <row r="189" spans="1:11" ht="20.100000000000001" customHeight="1" x14ac:dyDescent="0.25">
      <c r="A189" s="13" t="s">
        <v>160</v>
      </c>
      <c r="B189" s="14">
        <v>13814657</v>
      </c>
      <c r="C189" s="20">
        <v>733001923190</v>
      </c>
      <c r="D189" s="6" t="s">
        <v>923</v>
      </c>
      <c r="E189" s="19">
        <v>1</v>
      </c>
      <c r="F189" s="15">
        <v>279.99</v>
      </c>
      <c r="G189" s="15">
        <v>279.99</v>
      </c>
      <c r="H189" s="7" t="s">
        <v>708</v>
      </c>
      <c r="I189" s="7" t="s">
        <v>680</v>
      </c>
      <c r="J189" s="7" t="s">
        <v>733</v>
      </c>
      <c r="K189" s="7" t="str">
        <f>HYPERLINK("http://slimages.macys.com/is/image/MCY/18613770 ")</f>
        <v xml:space="preserve">http://slimages.macys.com/is/image/MCY/18613770 </v>
      </c>
    </row>
    <row r="190" spans="1:11" ht="20.100000000000001" customHeight="1" x14ac:dyDescent="0.25">
      <c r="A190" s="13" t="s">
        <v>160</v>
      </c>
      <c r="B190" s="14">
        <v>13814657</v>
      </c>
      <c r="C190" s="20">
        <v>733001947929</v>
      </c>
      <c r="D190" s="6" t="s">
        <v>315</v>
      </c>
      <c r="E190" s="19">
        <v>2</v>
      </c>
      <c r="F190" s="15">
        <v>99.99</v>
      </c>
      <c r="G190" s="15">
        <v>199.98</v>
      </c>
      <c r="H190" s="7" t="s">
        <v>668</v>
      </c>
      <c r="I190" s="7" t="s">
        <v>808</v>
      </c>
      <c r="J190" s="7" t="s">
        <v>809</v>
      </c>
      <c r="K190" s="7" t="str">
        <f>HYPERLINK("http://slimages.macys.com/is/image/MCY/18893344 ")</f>
        <v xml:space="preserve">http://slimages.macys.com/is/image/MCY/18893344 </v>
      </c>
    </row>
    <row r="191" spans="1:11" ht="20.100000000000001" customHeight="1" x14ac:dyDescent="0.25">
      <c r="A191" s="13" t="s">
        <v>160</v>
      </c>
      <c r="B191" s="14">
        <v>13814657</v>
      </c>
      <c r="C191" s="20">
        <v>733002007714</v>
      </c>
      <c r="D191" s="6" t="s">
        <v>954</v>
      </c>
      <c r="E191" s="19">
        <v>1</v>
      </c>
      <c r="F191" s="15">
        <v>79.989999999999995</v>
      </c>
      <c r="G191" s="15">
        <v>79.989999999999995</v>
      </c>
      <c r="H191" s="7" t="s">
        <v>768</v>
      </c>
      <c r="I191" s="7" t="s">
        <v>680</v>
      </c>
      <c r="J191" s="7" t="s">
        <v>733</v>
      </c>
      <c r="K191" s="7" t="str">
        <f>HYPERLINK("http://slimages.macys.com/is/image/MCY/18772819 ")</f>
        <v xml:space="preserve">http://slimages.macys.com/is/image/MCY/18772819 </v>
      </c>
    </row>
    <row r="192" spans="1:11" ht="20.100000000000001" customHeight="1" x14ac:dyDescent="0.25">
      <c r="A192" s="13" t="s">
        <v>160</v>
      </c>
      <c r="B192" s="14">
        <v>13814657</v>
      </c>
      <c r="C192" s="20">
        <v>733002007738</v>
      </c>
      <c r="D192" s="6" t="s">
        <v>316</v>
      </c>
      <c r="E192" s="19">
        <v>1</v>
      </c>
      <c r="F192" s="15">
        <v>279.99</v>
      </c>
      <c r="G192" s="15">
        <v>279.99</v>
      </c>
      <c r="H192" s="7" t="s">
        <v>768</v>
      </c>
      <c r="I192" s="7" t="s">
        <v>680</v>
      </c>
      <c r="J192" s="7" t="s">
        <v>733</v>
      </c>
      <c r="K192" s="7" t="str">
        <f>HYPERLINK("http://slimages.macys.com/is/image/MCY/18631884 ")</f>
        <v xml:space="preserve">http://slimages.macys.com/is/image/MCY/18631884 </v>
      </c>
    </row>
    <row r="193" spans="1:11" ht="20.100000000000001" customHeight="1" x14ac:dyDescent="0.25">
      <c r="A193" s="13" t="s">
        <v>160</v>
      </c>
      <c r="B193" s="14">
        <v>13814657</v>
      </c>
      <c r="C193" s="20">
        <v>733002007776</v>
      </c>
      <c r="D193" s="6" t="s">
        <v>317</v>
      </c>
      <c r="E193" s="19">
        <v>2</v>
      </c>
      <c r="F193" s="15">
        <v>89.99</v>
      </c>
      <c r="G193" s="15">
        <v>179.98</v>
      </c>
      <c r="H193" s="7" t="s">
        <v>671</v>
      </c>
      <c r="I193" s="7" t="s">
        <v>680</v>
      </c>
      <c r="J193" s="7" t="s">
        <v>733</v>
      </c>
      <c r="K193" s="7" t="str">
        <f>HYPERLINK("http://slimages.macys.com/is/image/MCY/18631890 ")</f>
        <v xml:space="preserve">http://slimages.macys.com/is/image/MCY/18631890 </v>
      </c>
    </row>
    <row r="194" spans="1:11" ht="20.100000000000001" customHeight="1" x14ac:dyDescent="0.25">
      <c r="A194" s="13" t="s">
        <v>160</v>
      </c>
      <c r="B194" s="14">
        <v>13814657</v>
      </c>
      <c r="C194" s="20">
        <v>733002052165</v>
      </c>
      <c r="D194" s="6" t="s">
        <v>1137</v>
      </c>
      <c r="E194" s="19">
        <v>1</v>
      </c>
      <c r="F194" s="15">
        <v>89.99</v>
      </c>
      <c r="G194" s="15">
        <v>89.99</v>
      </c>
      <c r="H194" s="7" t="s">
        <v>668</v>
      </c>
      <c r="I194" s="7" t="s">
        <v>741</v>
      </c>
      <c r="J194" s="7" t="s">
        <v>932</v>
      </c>
      <c r="K194" s="7" t="str">
        <f>HYPERLINK("http://slimages.macys.com/is/image/MCY/18366426 ")</f>
        <v xml:space="preserve">http://slimages.macys.com/is/image/MCY/18366426 </v>
      </c>
    </row>
    <row r="195" spans="1:11" ht="20.100000000000001" customHeight="1" x14ac:dyDescent="0.25">
      <c r="A195" s="13" t="s">
        <v>160</v>
      </c>
      <c r="B195" s="14">
        <v>13814657</v>
      </c>
      <c r="C195" s="20">
        <v>733002070237</v>
      </c>
      <c r="D195" s="6" t="s">
        <v>318</v>
      </c>
      <c r="E195" s="19">
        <v>1</v>
      </c>
      <c r="F195" s="15">
        <v>39.99</v>
      </c>
      <c r="G195" s="15">
        <v>39.99</v>
      </c>
      <c r="H195" s="7" t="s">
        <v>668</v>
      </c>
      <c r="I195" s="7" t="s">
        <v>741</v>
      </c>
      <c r="J195" s="7" t="s">
        <v>790</v>
      </c>
      <c r="K195" s="7" t="str">
        <f>HYPERLINK("http://slimages.macys.com/is/image/MCY/15711399 ")</f>
        <v xml:space="preserve">http://slimages.macys.com/is/image/MCY/15711399 </v>
      </c>
    </row>
    <row r="196" spans="1:11" ht="20.100000000000001" customHeight="1" x14ac:dyDescent="0.25">
      <c r="A196" s="13" t="s">
        <v>160</v>
      </c>
      <c r="B196" s="14">
        <v>13814657</v>
      </c>
      <c r="C196" s="20">
        <v>733002095797</v>
      </c>
      <c r="D196" s="6" t="s">
        <v>319</v>
      </c>
      <c r="E196" s="19">
        <v>1</v>
      </c>
      <c r="F196" s="15">
        <v>49.99</v>
      </c>
      <c r="G196" s="15">
        <v>49.99</v>
      </c>
      <c r="H196" s="7" t="s">
        <v>807</v>
      </c>
      <c r="I196" s="7" t="s">
        <v>680</v>
      </c>
      <c r="J196" s="7" t="s">
        <v>681</v>
      </c>
      <c r="K196" s="7" t="str">
        <f>HYPERLINK("http://slimages.macys.com/is/image/MCY/18083601 ")</f>
        <v xml:space="preserve">http://slimages.macys.com/is/image/MCY/18083601 </v>
      </c>
    </row>
    <row r="197" spans="1:11" ht="20.100000000000001" customHeight="1" x14ac:dyDescent="0.25">
      <c r="A197" s="13" t="s">
        <v>160</v>
      </c>
      <c r="B197" s="14">
        <v>13814657</v>
      </c>
      <c r="C197" s="20">
        <v>733002097937</v>
      </c>
      <c r="D197" s="6" t="s">
        <v>320</v>
      </c>
      <c r="E197" s="19">
        <v>1</v>
      </c>
      <c r="F197" s="15">
        <v>199</v>
      </c>
      <c r="G197" s="15">
        <v>199</v>
      </c>
      <c r="H197" s="7" t="s">
        <v>668</v>
      </c>
      <c r="I197" s="7" t="s">
        <v>680</v>
      </c>
      <c r="J197" s="7" t="s">
        <v>811</v>
      </c>
      <c r="K197" s="7" t="str">
        <f>HYPERLINK("http://slimages.macys.com/is/image/MCY/18987587 ")</f>
        <v xml:space="preserve">http://slimages.macys.com/is/image/MCY/18987587 </v>
      </c>
    </row>
    <row r="198" spans="1:11" ht="20.100000000000001" customHeight="1" x14ac:dyDescent="0.25">
      <c r="A198" s="13" t="s">
        <v>160</v>
      </c>
      <c r="B198" s="14">
        <v>13814657</v>
      </c>
      <c r="C198" s="20">
        <v>733002141531</v>
      </c>
      <c r="D198" s="6" t="s">
        <v>321</v>
      </c>
      <c r="E198" s="19">
        <v>1</v>
      </c>
      <c r="F198" s="15">
        <v>119.99</v>
      </c>
      <c r="G198" s="15">
        <v>119.99</v>
      </c>
      <c r="H198" s="7" t="s">
        <v>784</v>
      </c>
      <c r="I198" s="7" t="s">
        <v>741</v>
      </c>
      <c r="J198" s="7" t="s">
        <v>790</v>
      </c>
      <c r="K198" s="7" t="str">
        <f>HYPERLINK("http://slimages.macys.com/is/image/MCY/18260057 ")</f>
        <v xml:space="preserve">http://slimages.macys.com/is/image/MCY/18260057 </v>
      </c>
    </row>
    <row r="199" spans="1:11" ht="20.100000000000001" customHeight="1" x14ac:dyDescent="0.25">
      <c r="A199" s="13" t="s">
        <v>160</v>
      </c>
      <c r="B199" s="14">
        <v>13814657</v>
      </c>
      <c r="C199" s="20">
        <v>733002247288</v>
      </c>
      <c r="D199" s="6" t="s">
        <v>322</v>
      </c>
      <c r="E199" s="19">
        <v>1</v>
      </c>
      <c r="F199" s="15">
        <v>179.99</v>
      </c>
      <c r="G199" s="15">
        <v>179.99</v>
      </c>
      <c r="H199" s="7" t="s">
        <v>784</v>
      </c>
      <c r="I199" s="7" t="s">
        <v>680</v>
      </c>
      <c r="J199" s="7" t="s">
        <v>817</v>
      </c>
      <c r="K199" s="7" t="str">
        <f>HYPERLINK("http://slimages.macys.com/is/image/MCY/18821955 ")</f>
        <v xml:space="preserve">http://slimages.macys.com/is/image/MCY/18821955 </v>
      </c>
    </row>
    <row r="200" spans="1:11" ht="20.100000000000001" customHeight="1" x14ac:dyDescent="0.25">
      <c r="A200" s="13" t="s">
        <v>160</v>
      </c>
      <c r="B200" s="14">
        <v>13814657</v>
      </c>
      <c r="C200" s="20">
        <v>733002247417</v>
      </c>
      <c r="D200" s="6" t="s">
        <v>323</v>
      </c>
      <c r="E200" s="19">
        <v>1</v>
      </c>
      <c r="F200" s="15">
        <v>249.99</v>
      </c>
      <c r="G200" s="15">
        <v>249.99</v>
      </c>
      <c r="H200" s="7" t="s">
        <v>784</v>
      </c>
      <c r="I200" s="7" t="s">
        <v>680</v>
      </c>
      <c r="J200" s="7" t="s">
        <v>817</v>
      </c>
      <c r="K200" s="7" t="str">
        <f>HYPERLINK("http://slimages.macys.com/is/image/MCY/18821955 ")</f>
        <v xml:space="preserve">http://slimages.macys.com/is/image/MCY/18821955 </v>
      </c>
    </row>
    <row r="201" spans="1:11" ht="20.100000000000001" customHeight="1" x14ac:dyDescent="0.25">
      <c r="A201" s="13" t="s">
        <v>160</v>
      </c>
      <c r="B201" s="14">
        <v>13814657</v>
      </c>
      <c r="C201" s="20">
        <v>733002270552</v>
      </c>
      <c r="D201" s="6" t="s">
        <v>324</v>
      </c>
      <c r="E201" s="19">
        <v>1</v>
      </c>
      <c r="F201" s="15">
        <v>149.99</v>
      </c>
      <c r="G201" s="15">
        <v>149.99</v>
      </c>
      <c r="H201" s="7" t="s">
        <v>677</v>
      </c>
      <c r="I201" s="7" t="s">
        <v>808</v>
      </c>
      <c r="J201" s="7" t="s">
        <v>809</v>
      </c>
      <c r="K201" s="7" t="str">
        <f>HYPERLINK("http://slimages.macys.com/is/image/MCY/18893290 ")</f>
        <v xml:space="preserve">http://slimages.macys.com/is/image/MCY/18893290 </v>
      </c>
    </row>
    <row r="202" spans="1:11" ht="20.100000000000001" customHeight="1" x14ac:dyDescent="0.25">
      <c r="A202" s="13" t="s">
        <v>160</v>
      </c>
      <c r="B202" s="14">
        <v>13814657</v>
      </c>
      <c r="C202" s="20">
        <v>733002484836</v>
      </c>
      <c r="D202" s="6" t="s">
        <v>325</v>
      </c>
      <c r="E202" s="19">
        <v>1</v>
      </c>
      <c r="F202" s="15">
        <v>59.99</v>
      </c>
      <c r="G202" s="15">
        <v>59.99</v>
      </c>
      <c r="H202" s="7" t="s">
        <v>704</v>
      </c>
      <c r="I202" s="7" t="s">
        <v>808</v>
      </c>
      <c r="J202" s="7" t="s">
        <v>809</v>
      </c>
      <c r="K202" s="7" t="str">
        <f>HYPERLINK("http://slimages.macys.com/is/image/MCY/19184231 ")</f>
        <v xml:space="preserve">http://slimages.macys.com/is/image/MCY/19184231 </v>
      </c>
    </row>
    <row r="203" spans="1:11" ht="20.100000000000001" customHeight="1" x14ac:dyDescent="0.25">
      <c r="A203" s="13" t="s">
        <v>160</v>
      </c>
      <c r="B203" s="14">
        <v>13814657</v>
      </c>
      <c r="C203" s="20">
        <v>733002801312</v>
      </c>
      <c r="D203" s="6" t="s">
        <v>326</v>
      </c>
      <c r="E203" s="19">
        <v>1</v>
      </c>
      <c r="F203" s="15">
        <v>24.99</v>
      </c>
      <c r="G203" s="15">
        <v>24.99</v>
      </c>
      <c r="H203" s="7" t="s">
        <v>676</v>
      </c>
      <c r="I203" s="7" t="s">
        <v>763</v>
      </c>
      <c r="J203" s="7" t="s">
        <v>902</v>
      </c>
      <c r="K203" s="7" t="str">
        <f>HYPERLINK("http://slimages.macys.com/is/image/MCY/16522329 ")</f>
        <v xml:space="preserve">http://slimages.macys.com/is/image/MCY/16522329 </v>
      </c>
    </row>
    <row r="204" spans="1:11" ht="20.100000000000001" customHeight="1" x14ac:dyDescent="0.25">
      <c r="A204" s="13" t="s">
        <v>160</v>
      </c>
      <c r="B204" s="14">
        <v>13814657</v>
      </c>
      <c r="C204" s="20">
        <v>733002875382</v>
      </c>
      <c r="D204" s="6" t="s">
        <v>327</v>
      </c>
      <c r="E204" s="19">
        <v>1</v>
      </c>
      <c r="F204" s="15">
        <v>199.99</v>
      </c>
      <c r="G204" s="15">
        <v>199.99</v>
      </c>
      <c r="H204" s="7" t="s">
        <v>668</v>
      </c>
      <c r="I204" s="7" t="s">
        <v>680</v>
      </c>
      <c r="J204" s="7" t="s">
        <v>817</v>
      </c>
      <c r="K204" s="7" t="str">
        <f>HYPERLINK("http://slimages.macys.com/is/image/MCY/19338019 ")</f>
        <v xml:space="preserve">http://slimages.macys.com/is/image/MCY/19338019 </v>
      </c>
    </row>
    <row r="205" spans="1:11" ht="20.100000000000001" customHeight="1" x14ac:dyDescent="0.25">
      <c r="A205" s="13" t="s">
        <v>160</v>
      </c>
      <c r="B205" s="14">
        <v>13814657</v>
      </c>
      <c r="C205" s="20">
        <v>733002875443</v>
      </c>
      <c r="D205" s="6" t="s">
        <v>328</v>
      </c>
      <c r="E205" s="19">
        <v>1</v>
      </c>
      <c r="F205" s="15">
        <v>199.99</v>
      </c>
      <c r="G205" s="15">
        <v>199.99</v>
      </c>
      <c r="H205" s="7" t="s">
        <v>668</v>
      </c>
      <c r="I205" s="7" t="s">
        <v>680</v>
      </c>
      <c r="J205" s="7" t="s">
        <v>817</v>
      </c>
      <c r="K205" s="7" t="str">
        <f>HYPERLINK("http://slimages.macys.com/is/image/MCY/19338078 ")</f>
        <v xml:space="preserve">http://slimages.macys.com/is/image/MCY/19338078 </v>
      </c>
    </row>
    <row r="206" spans="1:11" ht="20.100000000000001" customHeight="1" x14ac:dyDescent="0.25">
      <c r="A206" s="13" t="s">
        <v>160</v>
      </c>
      <c r="B206" s="14">
        <v>13814657</v>
      </c>
      <c r="C206" s="20">
        <v>733003221423</v>
      </c>
      <c r="D206" s="6" t="s">
        <v>329</v>
      </c>
      <c r="E206" s="19">
        <v>1</v>
      </c>
      <c r="F206" s="15">
        <v>59.99</v>
      </c>
      <c r="G206" s="15">
        <v>59.99</v>
      </c>
      <c r="H206" s="7" t="s">
        <v>668</v>
      </c>
      <c r="I206" s="7" t="s">
        <v>692</v>
      </c>
      <c r="J206" s="7" t="s">
        <v>693</v>
      </c>
      <c r="K206" s="7" t="str">
        <f>HYPERLINK("http://slimages.macys.com/is/image/MCY/854719 ")</f>
        <v xml:space="preserve">http://slimages.macys.com/is/image/MCY/854719 </v>
      </c>
    </row>
    <row r="207" spans="1:11" ht="20.100000000000001" customHeight="1" x14ac:dyDescent="0.25">
      <c r="A207" s="13" t="s">
        <v>160</v>
      </c>
      <c r="B207" s="14">
        <v>13814657</v>
      </c>
      <c r="C207" s="20">
        <v>733004832543</v>
      </c>
      <c r="D207" s="6" t="s">
        <v>330</v>
      </c>
      <c r="E207" s="19">
        <v>1</v>
      </c>
      <c r="F207" s="15">
        <v>99.99</v>
      </c>
      <c r="G207" s="15">
        <v>99.99</v>
      </c>
      <c r="H207" s="7" t="s">
        <v>701</v>
      </c>
      <c r="I207" s="7" t="s">
        <v>1236</v>
      </c>
      <c r="J207" s="7" t="s">
        <v>147</v>
      </c>
      <c r="K207" s="7" t="str">
        <f>HYPERLINK("http://slimages.macys.com/is/image/MCY/1106881 ")</f>
        <v xml:space="preserve">http://slimages.macys.com/is/image/MCY/1106881 </v>
      </c>
    </row>
    <row r="208" spans="1:11" ht="20.100000000000001" customHeight="1" x14ac:dyDescent="0.25">
      <c r="A208" s="13" t="s">
        <v>160</v>
      </c>
      <c r="B208" s="14">
        <v>13814657</v>
      </c>
      <c r="C208" s="20">
        <v>734737485655</v>
      </c>
      <c r="D208" s="6" t="s">
        <v>331</v>
      </c>
      <c r="E208" s="19">
        <v>1</v>
      </c>
      <c r="F208" s="15">
        <v>49.99</v>
      </c>
      <c r="G208" s="15">
        <v>49.99</v>
      </c>
      <c r="H208" s="7" t="s">
        <v>676</v>
      </c>
      <c r="I208" s="7" t="s">
        <v>672</v>
      </c>
      <c r="J208" s="7" t="s">
        <v>696</v>
      </c>
      <c r="K208" s="7" t="str">
        <f>HYPERLINK("http://slimages.macys.com/is/image/MCY/8347198 ")</f>
        <v xml:space="preserve">http://slimages.macys.com/is/image/MCY/8347198 </v>
      </c>
    </row>
    <row r="209" spans="1:11" ht="20.100000000000001" customHeight="1" x14ac:dyDescent="0.25">
      <c r="A209" s="13" t="s">
        <v>160</v>
      </c>
      <c r="B209" s="14">
        <v>13814657</v>
      </c>
      <c r="C209" s="20">
        <v>734737485655</v>
      </c>
      <c r="D209" s="6" t="s">
        <v>331</v>
      </c>
      <c r="E209" s="19">
        <v>1</v>
      </c>
      <c r="F209" s="15">
        <v>49.99</v>
      </c>
      <c r="G209" s="15">
        <v>49.99</v>
      </c>
      <c r="H209" s="7" t="s">
        <v>676</v>
      </c>
      <c r="I209" s="7" t="s">
        <v>672</v>
      </c>
      <c r="J209" s="7" t="s">
        <v>696</v>
      </c>
      <c r="K209" s="7" t="str">
        <f>HYPERLINK("http://slimages.macys.com/is/image/MCY/8347198 ")</f>
        <v xml:space="preserve">http://slimages.macys.com/is/image/MCY/8347198 </v>
      </c>
    </row>
    <row r="210" spans="1:11" ht="20.100000000000001" customHeight="1" x14ac:dyDescent="0.25">
      <c r="A210" s="13" t="s">
        <v>160</v>
      </c>
      <c r="B210" s="14">
        <v>13814657</v>
      </c>
      <c r="C210" s="20">
        <v>734737532724</v>
      </c>
      <c r="D210" s="6" t="s">
        <v>697</v>
      </c>
      <c r="E210" s="19">
        <v>1</v>
      </c>
      <c r="F210" s="15">
        <v>49.99</v>
      </c>
      <c r="G210" s="15">
        <v>49.99</v>
      </c>
      <c r="H210" s="7" t="s">
        <v>668</v>
      </c>
      <c r="I210" s="7" t="s">
        <v>672</v>
      </c>
      <c r="J210" s="7" t="s">
        <v>696</v>
      </c>
      <c r="K210" s="7" t="str">
        <f>HYPERLINK("http://slimages.macys.com/is/image/MCY/9330026 ")</f>
        <v xml:space="preserve">http://slimages.macys.com/is/image/MCY/9330026 </v>
      </c>
    </row>
    <row r="211" spans="1:11" ht="20.100000000000001" customHeight="1" x14ac:dyDescent="0.25">
      <c r="A211" s="13" t="s">
        <v>160</v>
      </c>
      <c r="B211" s="14">
        <v>13814657</v>
      </c>
      <c r="C211" s="20">
        <v>734737532724</v>
      </c>
      <c r="D211" s="6" t="s">
        <v>697</v>
      </c>
      <c r="E211" s="19">
        <v>1</v>
      </c>
      <c r="F211" s="15">
        <v>49.99</v>
      </c>
      <c r="G211" s="15">
        <v>49.99</v>
      </c>
      <c r="H211" s="7" t="s">
        <v>668</v>
      </c>
      <c r="I211" s="7" t="s">
        <v>672</v>
      </c>
      <c r="J211" s="7" t="s">
        <v>696</v>
      </c>
      <c r="K211" s="7" t="str">
        <f>HYPERLINK("http://slimages.macys.com/is/image/MCY/9330026 ")</f>
        <v xml:space="preserve">http://slimages.macys.com/is/image/MCY/9330026 </v>
      </c>
    </row>
    <row r="212" spans="1:11" ht="20.100000000000001" customHeight="1" x14ac:dyDescent="0.25">
      <c r="A212" s="13" t="s">
        <v>160</v>
      </c>
      <c r="B212" s="14">
        <v>13814657</v>
      </c>
      <c r="C212" s="20">
        <v>734737532748</v>
      </c>
      <c r="D212" s="6" t="s">
        <v>332</v>
      </c>
      <c r="E212" s="19">
        <v>1</v>
      </c>
      <c r="F212" s="15">
        <v>49.99</v>
      </c>
      <c r="G212" s="15">
        <v>49.99</v>
      </c>
      <c r="H212" s="7" t="s">
        <v>668</v>
      </c>
      <c r="I212" s="7" t="s">
        <v>672</v>
      </c>
      <c r="J212" s="7" t="s">
        <v>696</v>
      </c>
      <c r="K212" s="7" t="str">
        <f>HYPERLINK("http://slimages.macys.com/is/image/MCY/9330026 ")</f>
        <v xml:space="preserve">http://slimages.macys.com/is/image/MCY/9330026 </v>
      </c>
    </row>
    <row r="213" spans="1:11" ht="20.100000000000001" customHeight="1" x14ac:dyDescent="0.25">
      <c r="A213" s="13" t="s">
        <v>160</v>
      </c>
      <c r="B213" s="14">
        <v>13814657</v>
      </c>
      <c r="C213" s="20">
        <v>734737552388</v>
      </c>
      <c r="D213" s="6" t="s">
        <v>703</v>
      </c>
      <c r="E213" s="19">
        <v>1</v>
      </c>
      <c r="F213" s="15">
        <v>29.99</v>
      </c>
      <c r="G213" s="15">
        <v>29.99</v>
      </c>
      <c r="H213" s="7" t="s">
        <v>704</v>
      </c>
      <c r="I213" s="7" t="s">
        <v>672</v>
      </c>
      <c r="J213" s="7" t="s">
        <v>696</v>
      </c>
      <c r="K213" s="7" t="str">
        <f>HYPERLINK("http://slimages.macys.com/is/image/MCY/9700679 ")</f>
        <v xml:space="preserve">http://slimages.macys.com/is/image/MCY/9700679 </v>
      </c>
    </row>
    <row r="214" spans="1:11" ht="20.100000000000001" customHeight="1" x14ac:dyDescent="0.25">
      <c r="A214" s="13" t="s">
        <v>160</v>
      </c>
      <c r="B214" s="14">
        <v>13814657</v>
      </c>
      <c r="C214" s="20">
        <v>734737619555</v>
      </c>
      <c r="D214" s="6" t="s">
        <v>877</v>
      </c>
      <c r="E214" s="19">
        <v>1</v>
      </c>
      <c r="F214" s="15">
        <v>49.99</v>
      </c>
      <c r="G214" s="15">
        <v>49.99</v>
      </c>
      <c r="H214" s="7" t="s">
        <v>878</v>
      </c>
      <c r="I214" s="7" t="s">
        <v>672</v>
      </c>
      <c r="J214" s="7" t="s">
        <v>696</v>
      </c>
      <c r="K214" s="7" t="str">
        <f>HYPERLINK("http://slimages.macys.com/is/image/MCY/14634045 ")</f>
        <v xml:space="preserve">http://slimages.macys.com/is/image/MCY/14634045 </v>
      </c>
    </row>
    <row r="215" spans="1:11" ht="20.100000000000001" customHeight="1" x14ac:dyDescent="0.25">
      <c r="A215" s="13" t="s">
        <v>160</v>
      </c>
      <c r="B215" s="14">
        <v>13814657</v>
      </c>
      <c r="C215" s="20">
        <v>734737628557</v>
      </c>
      <c r="D215" s="6" t="s">
        <v>333</v>
      </c>
      <c r="E215" s="19">
        <v>1</v>
      </c>
      <c r="F215" s="15">
        <v>79.989999999999995</v>
      </c>
      <c r="G215" s="15">
        <v>79.989999999999995</v>
      </c>
      <c r="H215" s="7" t="s">
        <v>705</v>
      </c>
      <c r="I215" s="7" t="s">
        <v>723</v>
      </c>
      <c r="J215" s="7" t="s">
        <v>840</v>
      </c>
      <c r="K215" s="7" t="str">
        <f>HYPERLINK("http://slimages.macys.com/is/image/MCY/16429983 ")</f>
        <v xml:space="preserve">http://slimages.macys.com/is/image/MCY/16429983 </v>
      </c>
    </row>
    <row r="216" spans="1:11" ht="20.100000000000001" customHeight="1" x14ac:dyDescent="0.25">
      <c r="A216" s="13" t="s">
        <v>160</v>
      </c>
      <c r="B216" s="14">
        <v>13814657</v>
      </c>
      <c r="C216" s="20">
        <v>734737671522</v>
      </c>
      <c r="D216" s="6" t="s">
        <v>879</v>
      </c>
      <c r="E216" s="19">
        <v>1</v>
      </c>
      <c r="F216" s="15">
        <v>49.99</v>
      </c>
      <c r="G216" s="15">
        <v>49.99</v>
      </c>
      <c r="H216" s="7"/>
      <c r="I216" s="7" t="s">
        <v>672</v>
      </c>
      <c r="J216" s="7" t="s">
        <v>696</v>
      </c>
      <c r="K216" s="7" t="str">
        <f>HYPERLINK("http://slimages.macys.com/is/image/MCY/18916234 ")</f>
        <v xml:space="preserve">http://slimages.macys.com/is/image/MCY/18916234 </v>
      </c>
    </row>
    <row r="217" spans="1:11" ht="20.100000000000001" customHeight="1" x14ac:dyDescent="0.25">
      <c r="A217" s="13" t="s">
        <v>160</v>
      </c>
      <c r="B217" s="14">
        <v>13814657</v>
      </c>
      <c r="C217" s="20">
        <v>735732011573</v>
      </c>
      <c r="D217" s="6" t="s">
        <v>334</v>
      </c>
      <c r="E217" s="19">
        <v>1</v>
      </c>
      <c r="F217" s="15">
        <v>9.99</v>
      </c>
      <c r="G217" s="15">
        <v>9.99</v>
      </c>
      <c r="H217" s="7" t="s">
        <v>759</v>
      </c>
      <c r="I217" s="7" t="s">
        <v>674</v>
      </c>
      <c r="J217" s="7" t="s">
        <v>925</v>
      </c>
      <c r="K217" s="7" t="str">
        <f>HYPERLINK("http://slimages.macys.com/is/image/MCY/18989546 ")</f>
        <v xml:space="preserve">http://slimages.macys.com/is/image/MCY/18989546 </v>
      </c>
    </row>
    <row r="218" spans="1:11" ht="20.100000000000001" customHeight="1" x14ac:dyDescent="0.25">
      <c r="A218" s="13" t="s">
        <v>160</v>
      </c>
      <c r="B218" s="14">
        <v>13814657</v>
      </c>
      <c r="C218" s="20">
        <v>735732053597</v>
      </c>
      <c r="D218" s="6" t="s">
        <v>335</v>
      </c>
      <c r="E218" s="19">
        <v>1</v>
      </c>
      <c r="F218" s="15">
        <v>62.99</v>
      </c>
      <c r="G218" s="15">
        <v>62.99</v>
      </c>
      <c r="H218" s="7" t="s">
        <v>717</v>
      </c>
      <c r="I218" s="7" t="s">
        <v>674</v>
      </c>
      <c r="J218" s="7" t="s">
        <v>925</v>
      </c>
      <c r="K218" s="7" t="str">
        <f>HYPERLINK("http://slimages.macys.com/is/image/MCY/11923045 ")</f>
        <v xml:space="preserve">http://slimages.macys.com/is/image/MCY/11923045 </v>
      </c>
    </row>
    <row r="219" spans="1:11" ht="20.100000000000001" customHeight="1" x14ac:dyDescent="0.25">
      <c r="A219" s="13" t="s">
        <v>160</v>
      </c>
      <c r="B219" s="14">
        <v>13814657</v>
      </c>
      <c r="C219" s="20">
        <v>735732093470</v>
      </c>
      <c r="D219" s="6" t="s">
        <v>336</v>
      </c>
      <c r="E219" s="19">
        <v>1</v>
      </c>
      <c r="F219" s="15">
        <v>65.989999999999995</v>
      </c>
      <c r="G219" s="15">
        <v>65.989999999999995</v>
      </c>
      <c r="H219" s="7" t="s">
        <v>671</v>
      </c>
      <c r="I219" s="7" t="s">
        <v>674</v>
      </c>
      <c r="J219" s="7" t="s">
        <v>925</v>
      </c>
      <c r="K219" s="7" t="str">
        <f>HYPERLINK("http://slimages.macys.com/is/image/MCY/12816875 ")</f>
        <v xml:space="preserve">http://slimages.macys.com/is/image/MCY/12816875 </v>
      </c>
    </row>
    <row r="220" spans="1:11" ht="20.100000000000001" customHeight="1" x14ac:dyDescent="0.25">
      <c r="A220" s="13" t="s">
        <v>160</v>
      </c>
      <c r="B220" s="14">
        <v>13814657</v>
      </c>
      <c r="C220" s="20">
        <v>735732189715</v>
      </c>
      <c r="D220" s="6" t="s">
        <v>337</v>
      </c>
      <c r="E220" s="19">
        <v>1</v>
      </c>
      <c r="F220" s="15">
        <v>78.989999999999995</v>
      </c>
      <c r="G220" s="15">
        <v>78.989999999999995</v>
      </c>
      <c r="H220" s="7"/>
      <c r="I220" s="7" t="s">
        <v>672</v>
      </c>
      <c r="J220" s="7" t="s">
        <v>868</v>
      </c>
      <c r="K220" s="7" t="str">
        <f>HYPERLINK("http://slimages.macys.com/is/image/MCY/10974209 ")</f>
        <v xml:space="preserve">http://slimages.macys.com/is/image/MCY/10974209 </v>
      </c>
    </row>
    <row r="221" spans="1:11" ht="20.100000000000001" customHeight="1" x14ac:dyDescent="0.25">
      <c r="A221" s="13" t="s">
        <v>160</v>
      </c>
      <c r="B221" s="14">
        <v>13814657</v>
      </c>
      <c r="C221" s="20">
        <v>735732261817</v>
      </c>
      <c r="D221" s="6" t="s">
        <v>338</v>
      </c>
      <c r="E221" s="19">
        <v>1</v>
      </c>
      <c r="F221" s="15">
        <v>47.99</v>
      </c>
      <c r="G221" s="15">
        <v>47.99</v>
      </c>
      <c r="H221" s="7" t="s">
        <v>754</v>
      </c>
      <c r="I221" s="7" t="s">
        <v>674</v>
      </c>
      <c r="J221" s="7" t="s">
        <v>925</v>
      </c>
      <c r="K221" s="7" t="str">
        <f>HYPERLINK("http://slimages.macys.com/is/image/MCY/10155574 ")</f>
        <v xml:space="preserve">http://slimages.macys.com/is/image/MCY/10155574 </v>
      </c>
    </row>
    <row r="222" spans="1:11" ht="20.100000000000001" customHeight="1" x14ac:dyDescent="0.25">
      <c r="A222" s="13" t="s">
        <v>160</v>
      </c>
      <c r="B222" s="14">
        <v>13814657</v>
      </c>
      <c r="C222" s="20">
        <v>735732310256</v>
      </c>
      <c r="D222" s="6" t="s">
        <v>339</v>
      </c>
      <c r="E222" s="19">
        <v>1</v>
      </c>
      <c r="F222" s="15">
        <v>78.989999999999995</v>
      </c>
      <c r="G222" s="15">
        <v>78.989999999999995</v>
      </c>
      <c r="H222" s="7" t="s">
        <v>721</v>
      </c>
      <c r="I222" s="7" t="s">
        <v>672</v>
      </c>
      <c r="J222" s="7" t="s">
        <v>868</v>
      </c>
      <c r="K222" s="7" t="str">
        <f>HYPERLINK("http://slimages.macys.com/is/image/MCY/18528187 ")</f>
        <v xml:space="preserve">http://slimages.macys.com/is/image/MCY/18528187 </v>
      </c>
    </row>
    <row r="223" spans="1:11" ht="20.100000000000001" customHeight="1" x14ac:dyDescent="0.25">
      <c r="A223" s="13" t="s">
        <v>160</v>
      </c>
      <c r="B223" s="14">
        <v>13814657</v>
      </c>
      <c r="C223" s="20">
        <v>735732808777</v>
      </c>
      <c r="D223" s="6" t="s">
        <v>340</v>
      </c>
      <c r="E223" s="19">
        <v>3</v>
      </c>
      <c r="F223" s="15">
        <v>44.99</v>
      </c>
      <c r="G223" s="15">
        <v>134.97</v>
      </c>
      <c r="H223" s="7" t="s">
        <v>671</v>
      </c>
      <c r="I223" s="7" t="s">
        <v>682</v>
      </c>
      <c r="J223" s="7" t="s">
        <v>868</v>
      </c>
      <c r="K223" s="7" t="str">
        <f>HYPERLINK("http://slimages.macys.com/is/image/MCY/13765211 ")</f>
        <v xml:space="preserve">http://slimages.macys.com/is/image/MCY/13765211 </v>
      </c>
    </row>
    <row r="224" spans="1:11" ht="20.100000000000001" customHeight="1" x14ac:dyDescent="0.25">
      <c r="A224" s="13" t="s">
        <v>160</v>
      </c>
      <c r="B224" s="14">
        <v>13814657</v>
      </c>
      <c r="C224" s="20">
        <v>735837077474</v>
      </c>
      <c r="D224" s="6" t="s">
        <v>341</v>
      </c>
      <c r="E224" s="19">
        <v>1</v>
      </c>
      <c r="F224" s="15">
        <v>89.99</v>
      </c>
      <c r="G224" s="15">
        <v>89.99</v>
      </c>
      <c r="H224" s="7" t="s">
        <v>714</v>
      </c>
      <c r="I224" s="7" t="s">
        <v>777</v>
      </c>
      <c r="J224" s="7" t="s">
        <v>838</v>
      </c>
      <c r="K224" s="7" t="str">
        <f>HYPERLINK("http://slimages.macys.com/is/image/MCY/1067172 ")</f>
        <v xml:space="preserve">http://slimages.macys.com/is/image/MCY/1067172 </v>
      </c>
    </row>
    <row r="225" spans="1:11" ht="20.100000000000001" customHeight="1" x14ac:dyDescent="0.25">
      <c r="A225" s="13" t="s">
        <v>160</v>
      </c>
      <c r="B225" s="14">
        <v>13814657</v>
      </c>
      <c r="C225" s="20">
        <v>735837083062</v>
      </c>
      <c r="D225" s="6" t="s">
        <v>856</v>
      </c>
      <c r="E225" s="19">
        <v>1</v>
      </c>
      <c r="F225" s="15">
        <v>219.99</v>
      </c>
      <c r="G225" s="15">
        <v>219.99</v>
      </c>
      <c r="H225" s="7" t="s">
        <v>668</v>
      </c>
      <c r="I225" s="7" t="s">
        <v>730</v>
      </c>
      <c r="J225" s="7" t="s">
        <v>838</v>
      </c>
      <c r="K225" s="7" t="str">
        <f>HYPERLINK("http://slimages.macys.com/is/image/MCY/2355760 ")</f>
        <v xml:space="preserve">http://slimages.macys.com/is/image/MCY/2355760 </v>
      </c>
    </row>
    <row r="226" spans="1:11" ht="20.100000000000001" customHeight="1" x14ac:dyDescent="0.25">
      <c r="A226" s="13" t="s">
        <v>160</v>
      </c>
      <c r="B226" s="14">
        <v>13814657</v>
      </c>
      <c r="C226" s="20">
        <v>735837574140</v>
      </c>
      <c r="D226" s="6" t="s">
        <v>342</v>
      </c>
      <c r="E226" s="19">
        <v>1</v>
      </c>
      <c r="F226" s="15">
        <v>299.99</v>
      </c>
      <c r="G226" s="15">
        <v>299.99</v>
      </c>
      <c r="H226" s="7" t="s">
        <v>668</v>
      </c>
      <c r="I226" s="7" t="s">
        <v>730</v>
      </c>
      <c r="J226" s="7" t="s">
        <v>838</v>
      </c>
      <c r="K226" s="7" t="str">
        <f>HYPERLINK("http://slimages.macys.com/is/image/MCY/3969345 ")</f>
        <v xml:space="preserve">http://slimages.macys.com/is/image/MCY/3969345 </v>
      </c>
    </row>
    <row r="227" spans="1:11" ht="20.100000000000001" customHeight="1" x14ac:dyDescent="0.25">
      <c r="A227" s="13" t="s">
        <v>160</v>
      </c>
      <c r="B227" s="14">
        <v>13814657</v>
      </c>
      <c r="C227" s="20">
        <v>735837574188</v>
      </c>
      <c r="D227" s="6" t="s">
        <v>837</v>
      </c>
      <c r="E227" s="19">
        <v>1</v>
      </c>
      <c r="F227" s="15">
        <v>439.99</v>
      </c>
      <c r="G227" s="15">
        <v>439.99</v>
      </c>
      <c r="H227" s="7" t="s">
        <v>668</v>
      </c>
      <c r="I227" s="7" t="s">
        <v>730</v>
      </c>
      <c r="J227" s="7" t="s">
        <v>838</v>
      </c>
      <c r="K227" s="7" t="str">
        <f>HYPERLINK("http://slimages.macys.com/is/image/MCY/3974565 ")</f>
        <v xml:space="preserve">http://slimages.macys.com/is/image/MCY/3974565 </v>
      </c>
    </row>
    <row r="228" spans="1:11" ht="20.100000000000001" customHeight="1" x14ac:dyDescent="0.25">
      <c r="A228" s="13" t="s">
        <v>160</v>
      </c>
      <c r="B228" s="14">
        <v>13814657</v>
      </c>
      <c r="C228" s="20">
        <v>735837574201</v>
      </c>
      <c r="D228" s="6" t="s">
        <v>343</v>
      </c>
      <c r="E228" s="19">
        <v>1</v>
      </c>
      <c r="F228" s="15">
        <v>499.99</v>
      </c>
      <c r="G228" s="15">
        <v>499.99</v>
      </c>
      <c r="H228" s="7" t="s">
        <v>668</v>
      </c>
      <c r="I228" s="7" t="s">
        <v>730</v>
      </c>
      <c r="J228" s="7" t="s">
        <v>838</v>
      </c>
      <c r="K228" s="7" t="str">
        <f>HYPERLINK("http://slimages.macys.com/is/image/MCY/3974563 ")</f>
        <v xml:space="preserve">http://slimages.macys.com/is/image/MCY/3974563 </v>
      </c>
    </row>
    <row r="229" spans="1:11" ht="20.100000000000001" customHeight="1" x14ac:dyDescent="0.25">
      <c r="A229" s="13" t="s">
        <v>160</v>
      </c>
      <c r="B229" s="14">
        <v>13814657</v>
      </c>
      <c r="C229" s="20">
        <v>735837574232</v>
      </c>
      <c r="D229" s="6" t="s">
        <v>344</v>
      </c>
      <c r="E229" s="19">
        <v>1</v>
      </c>
      <c r="F229" s="15">
        <v>179.99</v>
      </c>
      <c r="G229" s="15">
        <v>179.99</v>
      </c>
      <c r="H229" s="7" t="s">
        <v>668</v>
      </c>
      <c r="I229" s="7" t="s">
        <v>777</v>
      </c>
      <c r="J229" s="7" t="s">
        <v>838</v>
      </c>
      <c r="K229" s="7" t="str">
        <f>HYPERLINK("http://slimages.macys.com/is/image/MCY/3962581 ")</f>
        <v xml:space="preserve">http://slimages.macys.com/is/image/MCY/3962581 </v>
      </c>
    </row>
    <row r="230" spans="1:11" ht="20.100000000000001" customHeight="1" x14ac:dyDescent="0.25">
      <c r="A230" s="13" t="s">
        <v>160</v>
      </c>
      <c r="B230" s="14">
        <v>13814657</v>
      </c>
      <c r="C230" s="20">
        <v>735837574263</v>
      </c>
      <c r="D230" s="6" t="s">
        <v>1168</v>
      </c>
      <c r="E230" s="19">
        <v>1</v>
      </c>
      <c r="F230" s="15">
        <v>189.99</v>
      </c>
      <c r="G230" s="15">
        <v>189.99</v>
      </c>
      <c r="H230" s="7" t="s">
        <v>668</v>
      </c>
      <c r="I230" s="7" t="s">
        <v>777</v>
      </c>
      <c r="J230" s="7" t="s">
        <v>838</v>
      </c>
      <c r="K230" s="7" t="str">
        <f>HYPERLINK("http://slimages.macys.com/is/image/MCY/3962581 ")</f>
        <v xml:space="preserve">http://slimages.macys.com/is/image/MCY/3962581 </v>
      </c>
    </row>
    <row r="231" spans="1:11" ht="20.100000000000001" customHeight="1" x14ac:dyDescent="0.25">
      <c r="A231" s="13" t="s">
        <v>160</v>
      </c>
      <c r="B231" s="14">
        <v>13814657</v>
      </c>
      <c r="C231" s="20">
        <v>738980782509</v>
      </c>
      <c r="D231" s="6" t="s">
        <v>345</v>
      </c>
      <c r="E231" s="19">
        <v>1</v>
      </c>
      <c r="F231" s="15">
        <v>15.99</v>
      </c>
      <c r="G231" s="15">
        <v>15.99</v>
      </c>
      <c r="H231" s="7" t="s">
        <v>665</v>
      </c>
      <c r="I231" s="7" t="s">
        <v>682</v>
      </c>
      <c r="J231" s="7" t="s">
        <v>803</v>
      </c>
      <c r="K231" s="7" t="str">
        <f>HYPERLINK("http://slimages.macys.com/is/image/MCY/9789997 ")</f>
        <v xml:space="preserve">http://slimages.macys.com/is/image/MCY/9789997 </v>
      </c>
    </row>
    <row r="232" spans="1:11" ht="20.100000000000001" customHeight="1" x14ac:dyDescent="0.25">
      <c r="A232" s="13" t="s">
        <v>160</v>
      </c>
      <c r="B232" s="14">
        <v>13814657</v>
      </c>
      <c r="C232" s="20">
        <v>746885385602</v>
      </c>
      <c r="D232" s="6" t="s">
        <v>346</v>
      </c>
      <c r="E232" s="19">
        <v>1</v>
      </c>
      <c r="F232" s="15">
        <v>29.99</v>
      </c>
      <c r="G232" s="15">
        <v>29.99</v>
      </c>
      <c r="H232" s="7" t="s">
        <v>677</v>
      </c>
      <c r="I232" s="7" t="s">
        <v>674</v>
      </c>
      <c r="J232" s="7" t="s">
        <v>955</v>
      </c>
      <c r="K232" s="7" t="str">
        <f>HYPERLINK("http://slimages.macys.com/is/image/MCY/3675413 ")</f>
        <v xml:space="preserve">http://slimages.macys.com/is/image/MCY/3675413 </v>
      </c>
    </row>
    <row r="233" spans="1:11" ht="20.100000000000001" customHeight="1" x14ac:dyDescent="0.25">
      <c r="A233" s="13" t="s">
        <v>160</v>
      </c>
      <c r="B233" s="14">
        <v>13814657</v>
      </c>
      <c r="C233" s="20">
        <v>750105134390</v>
      </c>
      <c r="D233" s="6" t="s">
        <v>347</v>
      </c>
      <c r="E233" s="19">
        <v>1</v>
      </c>
      <c r="F233" s="15">
        <v>189.99</v>
      </c>
      <c r="G233" s="15">
        <v>189.99</v>
      </c>
      <c r="H233" s="7" t="s">
        <v>668</v>
      </c>
      <c r="I233" s="7" t="s">
        <v>730</v>
      </c>
      <c r="J233" s="7" t="s">
        <v>800</v>
      </c>
      <c r="K233" s="7" t="str">
        <f>HYPERLINK("http://slimages.macys.com/is/image/MCY/3962568 ")</f>
        <v xml:space="preserve">http://slimages.macys.com/is/image/MCY/3962568 </v>
      </c>
    </row>
    <row r="234" spans="1:11" ht="20.100000000000001" customHeight="1" x14ac:dyDescent="0.25">
      <c r="A234" s="13" t="s">
        <v>160</v>
      </c>
      <c r="B234" s="14">
        <v>13814657</v>
      </c>
      <c r="C234" s="20">
        <v>750105134413</v>
      </c>
      <c r="D234" s="6" t="s">
        <v>1174</v>
      </c>
      <c r="E234" s="19">
        <v>1</v>
      </c>
      <c r="F234" s="15">
        <v>199.99</v>
      </c>
      <c r="G234" s="15">
        <v>199.99</v>
      </c>
      <c r="H234" s="7" t="s">
        <v>668</v>
      </c>
      <c r="I234" s="7" t="s">
        <v>730</v>
      </c>
      <c r="J234" s="7" t="s">
        <v>800</v>
      </c>
      <c r="K234" s="7" t="str">
        <f>HYPERLINK("http://slimages.macys.com/is/image/MCY/3962568 ")</f>
        <v xml:space="preserve">http://slimages.macys.com/is/image/MCY/3962568 </v>
      </c>
    </row>
    <row r="235" spans="1:11" ht="20.100000000000001" customHeight="1" x14ac:dyDescent="0.25">
      <c r="A235" s="13" t="s">
        <v>160</v>
      </c>
      <c r="B235" s="14">
        <v>13814657</v>
      </c>
      <c r="C235" s="20">
        <v>750105140377</v>
      </c>
      <c r="D235" s="6" t="s">
        <v>348</v>
      </c>
      <c r="E235" s="19">
        <v>1</v>
      </c>
      <c r="F235" s="15">
        <v>89.99</v>
      </c>
      <c r="G235" s="15">
        <v>89.99</v>
      </c>
      <c r="H235" s="7" t="s">
        <v>668</v>
      </c>
      <c r="I235" s="7" t="s">
        <v>777</v>
      </c>
      <c r="J235" s="7" t="s">
        <v>933</v>
      </c>
      <c r="K235" s="7" t="str">
        <f>HYPERLINK("http://images.bloomingdales.com/is/image/BLM/10576093 ")</f>
        <v xml:space="preserve">http://images.bloomingdales.com/is/image/BLM/10576093 </v>
      </c>
    </row>
    <row r="236" spans="1:11" ht="20.100000000000001" customHeight="1" x14ac:dyDescent="0.25">
      <c r="A236" s="13" t="s">
        <v>160</v>
      </c>
      <c r="B236" s="14">
        <v>13814657</v>
      </c>
      <c r="C236" s="20">
        <v>750105168975</v>
      </c>
      <c r="D236" s="6" t="s">
        <v>1176</v>
      </c>
      <c r="E236" s="19">
        <v>1</v>
      </c>
      <c r="F236" s="15">
        <v>16.989999999999998</v>
      </c>
      <c r="G236" s="15">
        <v>16.989999999999998</v>
      </c>
      <c r="H236" s="7" t="s">
        <v>668</v>
      </c>
      <c r="I236" s="7" t="s">
        <v>669</v>
      </c>
      <c r="J236" s="7" t="s">
        <v>933</v>
      </c>
      <c r="K236" s="7" t="str">
        <f>HYPERLINK("http://slimages.macys.com/is/image/MCY/17934766 ")</f>
        <v xml:space="preserve">http://slimages.macys.com/is/image/MCY/17934766 </v>
      </c>
    </row>
    <row r="237" spans="1:11" ht="20.100000000000001" customHeight="1" x14ac:dyDescent="0.25">
      <c r="A237" s="13" t="s">
        <v>160</v>
      </c>
      <c r="B237" s="14">
        <v>13814657</v>
      </c>
      <c r="C237" s="20">
        <v>751379615684</v>
      </c>
      <c r="D237" s="6" t="s">
        <v>349</v>
      </c>
      <c r="E237" s="19">
        <v>1</v>
      </c>
      <c r="F237" s="15">
        <v>35.99</v>
      </c>
      <c r="G237" s="15">
        <v>35.99</v>
      </c>
      <c r="H237" s="7" t="s">
        <v>704</v>
      </c>
      <c r="I237" s="7" t="s">
        <v>674</v>
      </c>
      <c r="J237" s="7" t="s">
        <v>757</v>
      </c>
      <c r="K237" s="7" t="str">
        <f>HYPERLINK("http://slimages.macys.com/is/image/MCY/10092647 ")</f>
        <v xml:space="preserve">http://slimages.macys.com/is/image/MCY/10092647 </v>
      </c>
    </row>
    <row r="238" spans="1:11" ht="20.100000000000001" customHeight="1" x14ac:dyDescent="0.25">
      <c r="A238" s="13" t="s">
        <v>160</v>
      </c>
      <c r="B238" s="14">
        <v>13814657</v>
      </c>
      <c r="C238" s="20">
        <v>760028583199</v>
      </c>
      <c r="D238" s="6" t="s">
        <v>350</v>
      </c>
      <c r="E238" s="19">
        <v>1</v>
      </c>
      <c r="F238" s="15">
        <v>10.99</v>
      </c>
      <c r="G238" s="15">
        <v>10.99</v>
      </c>
      <c r="H238" s="7" t="s">
        <v>698</v>
      </c>
      <c r="I238" s="7" t="s">
        <v>669</v>
      </c>
      <c r="J238" s="7" t="s">
        <v>915</v>
      </c>
      <c r="K238" s="7" t="str">
        <f>HYPERLINK("http://slimages.macys.com/is/image/MCY/17993402 ")</f>
        <v xml:space="preserve">http://slimages.macys.com/is/image/MCY/17993402 </v>
      </c>
    </row>
    <row r="239" spans="1:11" ht="20.100000000000001" customHeight="1" x14ac:dyDescent="0.25">
      <c r="A239" s="13" t="s">
        <v>160</v>
      </c>
      <c r="B239" s="14">
        <v>13814657</v>
      </c>
      <c r="C239" s="20">
        <v>766195314550</v>
      </c>
      <c r="D239" s="6" t="s">
        <v>351</v>
      </c>
      <c r="E239" s="19">
        <v>2</v>
      </c>
      <c r="F239" s="15">
        <v>39.99</v>
      </c>
      <c r="G239" s="15">
        <v>79.98</v>
      </c>
      <c r="H239" s="7" t="s">
        <v>668</v>
      </c>
      <c r="I239" s="7" t="s">
        <v>723</v>
      </c>
      <c r="J239" s="7" t="s">
        <v>792</v>
      </c>
      <c r="K239" s="7" t="str">
        <f>HYPERLINK("http://slimages.macys.com/is/image/MCY/8095477 ")</f>
        <v xml:space="preserve">http://slimages.macys.com/is/image/MCY/8095477 </v>
      </c>
    </row>
    <row r="240" spans="1:11" ht="20.100000000000001" customHeight="1" x14ac:dyDescent="0.25">
      <c r="A240" s="13" t="s">
        <v>160</v>
      </c>
      <c r="B240" s="14">
        <v>13814657</v>
      </c>
      <c r="C240" s="20">
        <v>766195314697</v>
      </c>
      <c r="D240" s="6" t="s">
        <v>352</v>
      </c>
      <c r="E240" s="19">
        <v>1</v>
      </c>
      <c r="F240" s="15">
        <v>79.989999999999995</v>
      </c>
      <c r="G240" s="15">
        <v>79.989999999999995</v>
      </c>
      <c r="H240" s="7" t="s">
        <v>784</v>
      </c>
      <c r="I240" s="7" t="s">
        <v>723</v>
      </c>
      <c r="J240" s="7" t="s">
        <v>792</v>
      </c>
      <c r="K240" s="7" t="str">
        <f>HYPERLINK("http://slimages.macys.com/is/image/MCY/8095477 ")</f>
        <v xml:space="preserve">http://slimages.macys.com/is/image/MCY/8095477 </v>
      </c>
    </row>
    <row r="241" spans="1:11" ht="20.100000000000001" customHeight="1" x14ac:dyDescent="0.25">
      <c r="A241" s="13" t="s">
        <v>160</v>
      </c>
      <c r="B241" s="14">
        <v>13814657</v>
      </c>
      <c r="C241" s="20">
        <v>766195416629</v>
      </c>
      <c r="D241" s="6" t="s">
        <v>353</v>
      </c>
      <c r="E241" s="19">
        <v>1</v>
      </c>
      <c r="F241" s="15">
        <v>12.99</v>
      </c>
      <c r="G241" s="15">
        <v>12.99</v>
      </c>
      <c r="H241" s="7" t="s">
        <v>668</v>
      </c>
      <c r="I241" s="7" t="s">
        <v>669</v>
      </c>
      <c r="J241" s="7" t="s">
        <v>354</v>
      </c>
      <c r="K241" s="7" t="str">
        <f>HYPERLINK("http://slimages.macys.com/is/image/MCY/12741094 ")</f>
        <v xml:space="preserve">http://slimages.macys.com/is/image/MCY/12741094 </v>
      </c>
    </row>
    <row r="242" spans="1:11" ht="20.100000000000001" customHeight="1" x14ac:dyDescent="0.25">
      <c r="A242" s="13" t="s">
        <v>160</v>
      </c>
      <c r="B242" s="14">
        <v>13814657</v>
      </c>
      <c r="C242" s="20">
        <v>783048021311</v>
      </c>
      <c r="D242" s="6" t="s">
        <v>1180</v>
      </c>
      <c r="E242" s="19">
        <v>1</v>
      </c>
      <c r="F242" s="15">
        <v>88.99</v>
      </c>
      <c r="G242" s="15">
        <v>88.99</v>
      </c>
      <c r="H242" s="7" t="s">
        <v>691</v>
      </c>
      <c r="I242" s="7" t="s">
        <v>672</v>
      </c>
      <c r="J242" s="7" t="s">
        <v>739</v>
      </c>
      <c r="K242" s="7" t="str">
        <f>HYPERLINK("http://slimages.macys.com/is/image/MCY/10005647 ")</f>
        <v xml:space="preserve">http://slimages.macys.com/is/image/MCY/10005647 </v>
      </c>
    </row>
    <row r="243" spans="1:11" ht="20.100000000000001" customHeight="1" x14ac:dyDescent="0.25">
      <c r="A243" s="13" t="s">
        <v>160</v>
      </c>
      <c r="B243" s="14">
        <v>13814657</v>
      </c>
      <c r="C243" s="20">
        <v>783048021458</v>
      </c>
      <c r="D243" s="6" t="s">
        <v>355</v>
      </c>
      <c r="E243" s="19">
        <v>1</v>
      </c>
      <c r="F243" s="15">
        <v>62.99</v>
      </c>
      <c r="G243" s="15">
        <v>62.99</v>
      </c>
      <c r="H243" s="7" t="s">
        <v>691</v>
      </c>
      <c r="I243" s="7" t="s">
        <v>672</v>
      </c>
      <c r="J243" s="7" t="s">
        <v>739</v>
      </c>
      <c r="K243" s="7" t="str">
        <f>HYPERLINK("http://slimages.macys.com/is/image/MCY/10005647 ")</f>
        <v xml:space="preserve">http://slimages.macys.com/is/image/MCY/10005647 </v>
      </c>
    </row>
    <row r="244" spans="1:11" ht="20.100000000000001" customHeight="1" x14ac:dyDescent="0.25">
      <c r="A244" s="13" t="s">
        <v>160</v>
      </c>
      <c r="B244" s="14">
        <v>13814657</v>
      </c>
      <c r="C244" s="20">
        <v>783048064660</v>
      </c>
      <c r="D244" s="6" t="s">
        <v>356</v>
      </c>
      <c r="E244" s="19">
        <v>2</v>
      </c>
      <c r="F244" s="15">
        <v>29.99</v>
      </c>
      <c r="G244" s="15">
        <v>59.98</v>
      </c>
      <c r="H244" s="7" t="s">
        <v>773</v>
      </c>
      <c r="I244" s="7" t="s">
        <v>672</v>
      </c>
      <c r="J244" s="7" t="s">
        <v>739</v>
      </c>
      <c r="K244" s="7" t="str">
        <f>HYPERLINK("http://slimages.macys.com/is/image/MCY/10652381 ")</f>
        <v xml:space="preserve">http://slimages.macys.com/is/image/MCY/10652381 </v>
      </c>
    </row>
    <row r="245" spans="1:11" ht="20.100000000000001" customHeight="1" x14ac:dyDescent="0.25">
      <c r="A245" s="13" t="s">
        <v>160</v>
      </c>
      <c r="B245" s="14">
        <v>13814657</v>
      </c>
      <c r="C245" s="20">
        <v>783048064677</v>
      </c>
      <c r="D245" s="6" t="s">
        <v>928</v>
      </c>
      <c r="E245" s="19">
        <v>1</v>
      </c>
      <c r="F245" s="15">
        <v>29.99</v>
      </c>
      <c r="G245" s="15">
        <v>29.99</v>
      </c>
      <c r="H245" s="7" t="s">
        <v>773</v>
      </c>
      <c r="I245" s="7" t="s">
        <v>672</v>
      </c>
      <c r="J245" s="7" t="s">
        <v>739</v>
      </c>
      <c r="K245" s="7" t="str">
        <f>HYPERLINK("http://slimages.macys.com/is/image/MCY/10652381 ")</f>
        <v xml:space="preserve">http://slimages.macys.com/is/image/MCY/10652381 </v>
      </c>
    </row>
    <row r="246" spans="1:11" ht="20.100000000000001" customHeight="1" x14ac:dyDescent="0.25">
      <c r="A246" s="13" t="s">
        <v>160</v>
      </c>
      <c r="B246" s="14">
        <v>13814657</v>
      </c>
      <c r="C246" s="20">
        <v>783048106629</v>
      </c>
      <c r="D246" s="6" t="s">
        <v>357</v>
      </c>
      <c r="E246" s="19">
        <v>1</v>
      </c>
      <c r="F246" s="15">
        <v>144.99</v>
      </c>
      <c r="G246" s="15">
        <v>144.99</v>
      </c>
      <c r="H246" s="7"/>
      <c r="I246" s="7" t="s">
        <v>672</v>
      </c>
      <c r="J246" s="7" t="s">
        <v>739</v>
      </c>
      <c r="K246" s="7" t="str">
        <f>HYPERLINK("http://slimages.macys.com/is/image/MCY/16409243 ")</f>
        <v xml:space="preserve">http://slimages.macys.com/is/image/MCY/16409243 </v>
      </c>
    </row>
    <row r="247" spans="1:11" ht="20.100000000000001" customHeight="1" x14ac:dyDescent="0.25">
      <c r="A247" s="13" t="s">
        <v>160</v>
      </c>
      <c r="B247" s="14">
        <v>13814657</v>
      </c>
      <c r="C247" s="20">
        <v>783048110183</v>
      </c>
      <c r="D247" s="6" t="s">
        <v>358</v>
      </c>
      <c r="E247" s="19">
        <v>1</v>
      </c>
      <c r="F247" s="15">
        <v>66.989999999999995</v>
      </c>
      <c r="G247" s="15">
        <v>66.989999999999995</v>
      </c>
      <c r="H247" s="7" t="s">
        <v>668</v>
      </c>
      <c r="I247" s="7" t="s">
        <v>752</v>
      </c>
      <c r="J247" s="7" t="s">
        <v>739</v>
      </c>
      <c r="K247" s="7" t="str">
        <f>HYPERLINK("http://slimages.macys.com/is/image/MCY/14633773 ")</f>
        <v xml:space="preserve">http://slimages.macys.com/is/image/MCY/14633773 </v>
      </c>
    </row>
    <row r="248" spans="1:11" ht="20.100000000000001" customHeight="1" x14ac:dyDescent="0.25">
      <c r="A248" s="13" t="s">
        <v>160</v>
      </c>
      <c r="B248" s="14">
        <v>13814657</v>
      </c>
      <c r="C248" s="20">
        <v>783048110190</v>
      </c>
      <c r="D248" s="6" t="s">
        <v>359</v>
      </c>
      <c r="E248" s="19">
        <v>1</v>
      </c>
      <c r="F248" s="15">
        <v>66.989999999999995</v>
      </c>
      <c r="G248" s="15">
        <v>66.989999999999995</v>
      </c>
      <c r="H248" s="7" t="s">
        <v>668</v>
      </c>
      <c r="I248" s="7" t="s">
        <v>752</v>
      </c>
      <c r="J248" s="7" t="s">
        <v>739</v>
      </c>
      <c r="K248" s="7" t="str">
        <f>HYPERLINK("http://slimages.macys.com/is/image/MCY/14633773 ")</f>
        <v xml:space="preserve">http://slimages.macys.com/is/image/MCY/14633773 </v>
      </c>
    </row>
    <row r="249" spans="1:11" ht="20.100000000000001" customHeight="1" x14ac:dyDescent="0.25">
      <c r="A249" s="13" t="s">
        <v>160</v>
      </c>
      <c r="B249" s="14">
        <v>13814657</v>
      </c>
      <c r="C249" s="20">
        <v>783048113627</v>
      </c>
      <c r="D249" s="6" t="s">
        <v>360</v>
      </c>
      <c r="E249" s="19">
        <v>1</v>
      </c>
      <c r="F249" s="15">
        <v>69.989999999999995</v>
      </c>
      <c r="G249" s="15">
        <v>69.989999999999995</v>
      </c>
      <c r="H249" s="7" t="s">
        <v>807</v>
      </c>
      <c r="I249" s="7" t="s">
        <v>672</v>
      </c>
      <c r="J249" s="7" t="s">
        <v>739</v>
      </c>
      <c r="K249" s="7" t="str">
        <f>HYPERLINK("http://slimages.macys.com/is/image/MCY/15820714 ")</f>
        <v xml:space="preserve">http://slimages.macys.com/is/image/MCY/15820714 </v>
      </c>
    </row>
    <row r="250" spans="1:11" ht="20.100000000000001" customHeight="1" x14ac:dyDescent="0.25">
      <c r="A250" s="13" t="s">
        <v>160</v>
      </c>
      <c r="B250" s="14">
        <v>13814657</v>
      </c>
      <c r="C250" s="20">
        <v>783048161697</v>
      </c>
      <c r="D250" s="6" t="s">
        <v>361</v>
      </c>
      <c r="E250" s="19">
        <v>1</v>
      </c>
      <c r="F250" s="15">
        <v>49.99</v>
      </c>
      <c r="G250" s="15">
        <v>49.99</v>
      </c>
      <c r="H250" s="7"/>
      <c r="I250" s="7" t="s">
        <v>672</v>
      </c>
      <c r="J250" s="7" t="s">
        <v>739</v>
      </c>
      <c r="K250" s="7" t="str">
        <f>HYPERLINK("http://slimages.macys.com/is/image/MCY/19685376 ")</f>
        <v xml:space="preserve">http://slimages.macys.com/is/image/MCY/19685376 </v>
      </c>
    </row>
    <row r="251" spans="1:11" ht="20.100000000000001" customHeight="1" x14ac:dyDescent="0.25">
      <c r="A251" s="13" t="s">
        <v>160</v>
      </c>
      <c r="B251" s="14">
        <v>13814657</v>
      </c>
      <c r="C251" s="20">
        <v>783048998293</v>
      </c>
      <c r="D251" s="6" t="s">
        <v>362</v>
      </c>
      <c r="E251" s="19">
        <v>1</v>
      </c>
      <c r="F251" s="15">
        <v>55.99</v>
      </c>
      <c r="G251" s="15">
        <v>55.99</v>
      </c>
      <c r="H251" s="7" t="s">
        <v>691</v>
      </c>
      <c r="I251" s="7" t="s">
        <v>672</v>
      </c>
      <c r="J251" s="7" t="s">
        <v>739</v>
      </c>
      <c r="K251" s="7" t="str">
        <f>HYPERLINK("http://slimages.macys.com/is/image/MCY/10005667 ")</f>
        <v xml:space="preserve">http://slimages.macys.com/is/image/MCY/10005667 </v>
      </c>
    </row>
    <row r="252" spans="1:11" ht="20.100000000000001" customHeight="1" x14ac:dyDescent="0.25">
      <c r="A252" s="13" t="s">
        <v>160</v>
      </c>
      <c r="B252" s="14">
        <v>13814657</v>
      </c>
      <c r="C252" s="20">
        <v>784851506637</v>
      </c>
      <c r="D252" s="6" t="s">
        <v>1192</v>
      </c>
      <c r="E252" s="19">
        <v>1</v>
      </c>
      <c r="F252" s="15">
        <v>77.989999999999995</v>
      </c>
      <c r="G252" s="15">
        <v>77.989999999999995</v>
      </c>
      <c r="H252" s="7" t="s">
        <v>676</v>
      </c>
      <c r="I252" s="7" t="s">
        <v>666</v>
      </c>
      <c r="J252" s="7" t="s">
        <v>901</v>
      </c>
      <c r="K252" s="7" t="str">
        <f>HYPERLINK("http://slimages.macys.com/is/image/MCY/12901863 ")</f>
        <v xml:space="preserve">http://slimages.macys.com/is/image/MCY/12901863 </v>
      </c>
    </row>
    <row r="253" spans="1:11" ht="20.100000000000001" customHeight="1" x14ac:dyDescent="0.25">
      <c r="A253" s="13" t="s">
        <v>160</v>
      </c>
      <c r="B253" s="14">
        <v>13814657</v>
      </c>
      <c r="C253" s="20">
        <v>784857925654</v>
      </c>
      <c r="D253" s="6" t="s">
        <v>363</v>
      </c>
      <c r="E253" s="19">
        <v>1</v>
      </c>
      <c r="F253" s="15">
        <v>24.99</v>
      </c>
      <c r="G253" s="15">
        <v>24.99</v>
      </c>
      <c r="H253" s="7" t="s">
        <v>708</v>
      </c>
      <c r="I253" s="7" t="s">
        <v>674</v>
      </c>
      <c r="J253" s="7" t="s">
        <v>812</v>
      </c>
      <c r="K253" s="7" t="str">
        <f>HYPERLINK("http://slimages.macys.com/is/image/MCY/19178761 ")</f>
        <v xml:space="preserve">http://slimages.macys.com/is/image/MCY/19178761 </v>
      </c>
    </row>
    <row r="254" spans="1:11" ht="20.100000000000001" customHeight="1" x14ac:dyDescent="0.25">
      <c r="A254" s="13" t="s">
        <v>160</v>
      </c>
      <c r="B254" s="14">
        <v>13814657</v>
      </c>
      <c r="C254" s="20">
        <v>788904002435</v>
      </c>
      <c r="D254" s="6" t="s">
        <v>364</v>
      </c>
      <c r="E254" s="19">
        <v>1</v>
      </c>
      <c r="F254" s="15">
        <v>44.99</v>
      </c>
      <c r="G254" s="15">
        <v>44.99</v>
      </c>
      <c r="H254" s="7" t="s">
        <v>668</v>
      </c>
      <c r="I254" s="7" t="s">
        <v>669</v>
      </c>
      <c r="J254" s="7" t="s">
        <v>685</v>
      </c>
      <c r="K254" s="7" t="str">
        <f>HYPERLINK("http://slimages.macys.com/is/image/MCY/11189220 ")</f>
        <v xml:space="preserve">http://slimages.macys.com/is/image/MCY/11189220 </v>
      </c>
    </row>
    <row r="255" spans="1:11" ht="20.100000000000001" customHeight="1" x14ac:dyDescent="0.25">
      <c r="A255" s="13" t="s">
        <v>160</v>
      </c>
      <c r="B255" s="14">
        <v>13814657</v>
      </c>
      <c r="C255" s="20">
        <v>788904024857</v>
      </c>
      <c r="D255" s="6" t="s">
        <v>365</v>
      </c>
      <c r="E255" s="19">
        <v>1</v>
      </c>
      <c r="F255" s="15">
        <v>104.99</v>
      </c>
      <c r="G255" s="15">
        <v>104.99</v>
      </c>
      <c r="H255" s="7" t="s">
        <v>701</v>
      </c>
      <c r="I255" s="7" t="s">
        <v>684</v>
      </c>
      <c r="J255" s="7" t="s">
        <v>685</v>
      </c>
      <c r="K255" s="7" t="str">
        <f>HYPERLINK("http://slimages.macys.com/is/image/MCY/13287050 ")</f>
        <v xml:space="preserve">http://slimages.macys.com/is/image/MCY/13287050 </v>
      </c>
    </row>
    <row r="256" spans="1:11" ht="20.100000000000001" customHeight="1" x14ac:dyDescent="0.25">
      <c r="A256" s="13" t="s">
        <v>160</v>
      </c>
      <c r="B256" s="14">
        <v>13814657</v>
      </c>
      <c r="C256" s="20">
        <v>788904113346</v>
      </c>
      <c r="D256" s="6" t="s">
        <v>366</v>
      </c>
      <c r="E256" s="19">
        <v>1</v>
      </c>
      <c r="F256" s="15">
        <v>44.99</v>
      </c>
      <c r="G256" s="15">
        <v>44.99</v>
      </c>
      <c r="H256" s="7" t="s">
        <v>668</v>
      </c>
      <c r="I256" s="7" t="s">
        <v>684</v>
      </c>
      <c r="J256" s="7" t="s">
        <v>685</v>
      </c>
      <c r="K256" s="7" t="str">
        <f>HYPERLINK("http://slimages.macys.com/is/image/MCY/9873929 ")</f>
        <v xml:space="preserve">http://slimages.macys.com/is/image/MCY/9873929 </v>
      </c>
    </row>
    <row r="257" spans="1:11" ht="20.100000000000001" customHeight="1" x14ac:dyDescent="0.25">
      <c r="A257" s="13" t="s">
        <v>160</v>
      </c>
      <c r="B257" s="14">
        <v>13814657</v>
      </c>
      <c r="C257" s="20">
        <v>788904113353</v>
      </c>
      <c r="D257" s="6" t="s">
        <v>683</v>
      </c>
      <c r="E257" s="19">
        <v>1</v>
      </c>
      <c r="F257" s="15">
        <v>49.99</v>
      </c>
      <c r="G257" s="15">
        <v>49.99</v>
      </c>
      <c r="H257" s="7" t="s">
        <v>668</v>
      </c>
      <c r="I257" s="7" t="s">
        <v>684</v>
      </c>
      <c r="J257" s="7" t="s">
        <v>685</v>
      </c>
      <c r="K257" s="7" t="str">
        <f>HYPERLINK("http://slimages.macys.com/is/image/MCY/9873929 ")</f>
        <v xml:space="preserve">http://slimages.macys.com/is/image/MCY/9873929 </v>
      </c>
    </row>
    <row r="258" spans="1:11" ht="20.100000000000001" customHeight="1" x14ac:dyDescent="0.25">
      <c r="A258" s="13" t="s">
        <v>160</v>
      </c>
      <c r="B258" s="14">
        <v>13814657</v>
      </c>
      <c r="C258" s="20">
        <v>788904130695</v>
      </c>
      <c r="D258" s="6" t="s">
        <v>367</v>
      </c>
      <c r="E258" s="19">
        <v>1</v>
      </c>
      <c r="F258" s="15">
        <v>39.99</v>
      </c>
      <c r="G258" s="15">
        <v>39.99</v>
      </c>
      <c r="H258" s="7" t="s">
        <v>799</v>
      </c>
      <c r="I258" s="7" t="s">
        <v>684</v>
      </c>
      <c r="J258" s="7" t="s">
        <v>685</v>
      </c>
      <c r="K258" s="7" t="str">
        <f>HYPERLINK("http://slimages.macys.com/is/image/MCY/3895749 ")</f>
        <v xml:space="preserve">http://slimages.macys.com/is/image/MCY/3895749 </v>
      </c>
    </row>
    <row r="259" spans="1:11" ht="20.100000000000001" customHeight="1" x14ac:dyDescent="0.25">
      <c r="A259" s="13" t="s">
        <v>160</v>
      </c>
      <c r="B259" s="14">
        <v>13814657</v>
      </c>
      <c r="C259" s="20">
        <v>791551525837</v>
      </c>
      <c r="D259" s="6" t="s">
        <v>368</v>
      </c>
      <c r="E259" s="19">
        <v>1</v>
      </c>
      <c r="F259" s="15">
        <v>29.99</v>
      </c>
      <c r="G259" s="15">
        <v>29.99</v>
      </c>
      <c r="H259" s="7" t="s">
        <v>745</v>
      </c>
      <c r="I259" s="7" t="s">
        <v>736</v>
      </c>
      <c r="J259" s="7" t="s">
        <v>894</v>
      </c>
      <c r="K259" s="7" t="str">
        <f>HYPERLINK("http://slimages.macys.com/is/image/MCY/8589764 ")</f>
        <v xml:space="preserve">http://slimages.macys.com/is/image/MCY/8589764 </v>
      </c>
    </row>
    <row r="260" spans="1:11" ht="20.100000000000001" customHeight="1" x14ac:dyDescent="0.25">
      <c r="A260" s="13" t="s">
        <v>160</v>
      </c>
      <c r="B260" s="14">
        <v>13814657</v>
      </c>
      <c r="C260" s="20">
        <v>800298566079</v>
      </c>
      <c r="D260" s="6" t="s">
        <v>369</v>
      </c>
      <c r="E260" s="19">
        <v>1</v>
      </c>
      <c r="F260" s="15">
        <v>26.99</v>
      </c>
      <c r="G260" s="15">
        <v>26.99</v>
      </c>
      <c r="H260" s="7" t="s">
        <v>698</v>
      </c>
      <c r="I260" s="7" t="s">
        <v>674</v>
      </c>
      <c r="J260" s="7" t="s">
        <v>738</v>
      </c>
      <c r="K260" s="7" t="str">
        <f>HYPERLINK("http://slimages.macys.com/is/image/MCY/8501242 ")</f>
        <v xml:space="preserve">http://slimages.macys.com/is/image/MCY/8501242 </v>
      </c>
    </row>
    <row r="261" spans="1:11" ht="20.100000000000001" customHeight="1" x14ac:dyDescent="0.25">
      <c r="A261" s="13" t="s">
        <v>160</v>
      </c>
      <c r="B261" s="14">
        <v>13814657</v>
      </c>
      <c r="C261" s="20">
        <v>800298605785</v>
      </c>
      <c r="D261" s="6" t="s">
        <v>370</v>
      </c>
      <c r="E261" s="19">
        <v>1</v>
      </c>
      <c r="F261" s="15">
        <v>169.99</v>
      </c>
      <c r="G261" s="15">
        <v>169.99</v>
      </c>
      <c r="H261" s="7" t="s">
        <v>744</v>
      </c>
      <c r="I261" s="7" t="s">
        <v>719</v>
      </c>
      <c r="J261" s="7" t="s">
        <v>743</v>
      </c>
      <c r="K261" s="7" t="str">
        <f>HYPERLINK("http://slimages.macys.com/is/image/MCY/8419187 ")</f>
        <v xml:space="preserve">http://slimages.macys.com/is/image/MCY/8419187 </v>
      </c>
    </row>
    <row r="262" spans="1:11" ht="20.100000000000001" customHeight="1" x14ac:dyDescent="0.25">
      <c r="A262" s="13" t="s">
        <v>160</v>
      </c>
      <c r="B262" s="14">
        <v>13814657</v>
      </c>
      <c r="C262" s="20">
        <v>810001367831</v>
      </c>
      <c r="D262" s="6" t="s">
        <v>371</v>
      </c>
      <c r="E262" s="19">
        <v>1</v>
      </c>
      <c r="F262" s="15">
        <v>41.99</v>
      </c>
      <c r="G262" s="15">
        <v>41.99</v>
      </c>
      <c r="H262" s="7" t="s">
        <v>707</v>
      </c>
      <c r="I262" s="7" t="s">
        <v>666</v>
      </c>
      <c r="J262" s="7" t="s">
        <v>887</v>
      </c>
      <c r="K262" s="7" t="str">
        <f>HYPERLINK("http://slimages.macys.com/is/image/MCY/12678590 ")</f>
        <v xml:space="preserve">http://slimages.macys.com/is/image/MCY/12678590 </v>
      </c>
    </row>
    <row r="263" spans="1:11" ht="20.100000000000001" customHeight="1" x14ac:dyDescent="0.25">
      <c r="A263" s="13" t="s">
        <v>160</v>
      </c>
      <c r="B263" s="14">
        <v>13814657</v>
      </c>
      <c r="C263" s="20">
        <v>810006711165</v>
      </c>
      <c r="D263" s="6" t="s">
        <v>372</v>
      </c>
      <c r="E263" s="19">
        <v>1</v>
      </c>
      <c r="F263" s="15">
        <v>59.99</v>
      </c>
      <c r="G263" s="15">
        <v>59.99</v>
      </c>
      <c r="H263" s="7" t="s">
        <v>744</v>
      </c>
      <c r="I263" s="7" t="s">
        <v>752</v>
      </c>
      <c r="J263" s="7" t="s">
        <v>828</v>
      </c>
      <c r="K263" s="7" t="str">
        <f>HYPERLINK("http://slimages.macys.com/is/image/MCY/11472766 ")</f>
        <v xml:space="preserve">http://slimages.macys.com/is/image/MCY/11472766 </v>
      </c>
    </row>
    <row r="264" spans="1:11" ht="20.100000000000001" customHeight="1" x14ac:dyDescent="0.25">
      <c r="A264" s="13" t="s">
        <v>160</v>
      </c>
      <c r="B264" s="14">
        <v>13814657</v>
      </c>
      <c r="C264" s="20">
        <v>810006716818</v>
      </c>
      <c r="D264" s="6" t="s">
        <v>373</v>
      </c>
      <c r="E264" s="19">
        <v>1</v>
      </c>
      <c r="F264" s="15">
        <v>44.99</v>
      </c>
      <c r="G264" s="15">
        <v>44.99</v>
      </c>
      <c r="H264" s="7" t="s">
        <v>671</v>
      </c>
      <c r="I264" s="7" t="s">
        <v>682</v>
      </c>
      <c r="J264" s="7" t="s">
        <v>374</v>
      </c>
      <c r="K264" s="7" t="str">
        <f>HYPERLINK("http://slimages.macys.com/is/image/MCY/15692001 ")</f>
        <v xml:space="preserve">http://slimages.macys.com/is/image/MCY/15692001 </v>
      </c>
    </row>
    <row r="265" spans="1:11" ht="20.100000000000001" customHeight="1" x14ac:dyDescent="0.25">
      <c r="A265" s="13" t="s">
        <v>160</v>
      </c>
      <c r="B265" s="14">
        <v>13814657</v>
      </c>
      <c r="C265" s="20">
        <v>810015870174</v>
      </c>
      <c r="D265" s="6" t="s">
        <v>1201</v>
      </c>
      <c r="E265" s="19">
        <v>1</v>
      </c>
      <c r="F265" s="15">
        <v>99.99</v>
      </c>
      <c r="G265" s="15">
        <v>99.99</v>
      </c>
      <c r="H265" s="7" t="s">
        <v>668</v>
      </c>
      <c r="I265" s="7" t="s">
        <v>669</v>
      </c>
      <c r="J265" s="7" t="s">
        <v>796</v>
      </c>
      <c r="K265" s="7" t="str">
        <f>HYPERLINK("http://slimages.macys.com/is/image/MCY/12407429 ")</f>
        <v xml:space="preserve">http://slimages.macys.com/is/image/MCY/12407429 </v>
      </c>
    </row>
    <row r="266" spans="1:11" ht="20.100000000000001" customHeight="1" x14ac:dyDescent="0.25">
      <c r="A266" s="13" t="s">
        <v>160</v>
      </c>
      <c r="B266" s="14">
        <v>13814657</v>
      </c>
      <c r="C266" s="20">
        <v>810018751234</v>
      </c>
      <c r="D266" s="6" t="s">
        <v>375</v>
      </c>
      <c r="E266" s="19">
        <v>1</v>
      </c>
      <c r="F266" s="15">
        <v>49.99</v>
      </c>
      <c r="G266" s="15">
        <v>49.99</v>
      </c>
      <c r="H266" s="7" t="s">
        <v>708</v>
      </c>
      <c r="I266" s="7" t="s">
        <v>682</v>
      </c>
      <c r="J266" s="7" t="s">
        <v>376</v>
      </c>
      <c r="K266" s="7" t="str">
        <f>HYPERLINK("http://slimages.macys.com/is/image/MCY/12283547 ")</f>
        <v xml:space="preserve">http://slimages.macys.com/is/image/MCY/12283547 </v>
      </c>
    </row>
    <row r="267" spans="1:11" ht="20.100000000000001" customHeight="1" x14ac:dyDescent="0.25">
      <c r="A267" s="13" t="s">
        <v>160</v>
      </c>
      <c r="B267" s="14">
        <v>13814657</v>
      </c>
      <c r="C267" s="20">
        <v>810033092398</v>
      </c>
      <c r="D267" s="6" t="s">
        <v>377</v>
      </c>
      <c r="E267" s="19">
        <v>4</v>
      </c>
      <c r="F267" s="15">
        <v>66.989999999999995</v>
      </c>
      <c r="G267" s="15">
        <v>267.95999999999998</v>
      </c>
      <c r="H267" s="7" t="s">
        <v>833</v>
      </c>
      <c r="I267" s="7" t="s">
        <v>752</v>
      </c>
      <c r="J267" s="7" t="s">
        <v>148</v>
      </c>
      <c r="K267" s="7" t="str">
        <f>HYPERLINK("http://slimages.macys.com/is/image/MCY/16825781 ")</f>
        <v xml:space="preserve">http://slimages.macys.com/is/image/MCY/16825781 </v>
      </c>
    </row>
    <row r="268" spans="1:11" ht="20.100000000000001" customHeight="1" x14ac:dyDescent="0.25">
      <c r="A268" s="13" t="s">
        <v>160</v>
      </c>
      <c r="B268" s="14">
        <v>13814657</v>
      </c>
      <c r="C268" s="20">
        <v>810033092862</v>
      </c>
      <c r="D268" s="6" t="s">
        <v>378</v>
      </c>
      <c r="E268" s="19">
        <v>1</v>
      </c>
      <c r="F268" s="15">
        <v>7.99</v>
      </c>
      <c r="G268" s="15">
        <v>7.99</v>
      </c>
      <c r="H268" s="7" t="s">
        <v>711</v>
      </c>
      <c r="I268" s="7" t="s">
        <v>752</v>
      </c>
      <c r="J268" s="7" t="s">
        <v>148</v>
      </c>
      <c r="K268" s="7" t="str">
        <f>HYPERLINK("http://slimages.macys.com/is/image/MCY/16783429 ")</f>
        <v xml:space="preserve">http://slimages.macys.com/is/image/MCY/16783429 </v>
      </c>
    </row>
    <row r="269" spans="1:11" ht="20.100000000000001" customHeight="1" x14ac:dyDescent="0.25">
      <c r="A269" s="13" t="s">
        <v>160</v>
      </c>
      <c r="B269" s="14">
        <v>13814657</v>
      </c>
      <c r="C269" s="20">
        <v>810549022582</v>
      </c>
      <c r="D269" s="6" t="s">
        <v>379</v>
      </c>
      <c r="E269" s="19">
        <v>1</v>
      </c>
      <c r="F269" s="15">
        <v>21.99</v>
      </c>
      <c r="G269" s="15">
        <v>21.99</v>
      </c>
      <c r="H269" s="7" t="s">
        <v>668</v>
      </c>
      <c r="I269" s="7" t="s">
        <v>669</v>
      </c>
      <c r="J269" s="7" t="s">
        <v>849</v>
      </c>
      <c r="K269" s="7" t="str">
        <f>HYPERLINK("http://slimages.macys.com/is/image/MCY/16854560 ")</f>
        <v xml:space="preserve">http://slimages.macys.com/is/image/MCY/16854560 </v>
      </c>
    </row>
    <row r="270" spans="1:11" ht="20.100000000000001" customHeight="1" x14ac:dyDescent="0.25">
      <c r="A270" s="13" t="s">
        <v>160</v>
      </c>
      <c r="B270" s="14">
        <v>13814657</v>
      </c>
      <c r="C270" s="20">
        <v>814740024673</v>
      </c>
      <c r="D270" s="6" t="s">
        <v>380</v>
      </c>
      <c r="E270" s="19">
        <v>1</v>
      </c>
      <c r="F270" s="15">
        <v>156.99</v>
      </c>
      <c r="G270" s="15">
        <v>156.99</v>
      </c>
      <c r="H270" s="7" t="s">
        <v>754</v>
      </c>
      <c r="I270" s="7" t="s">
        <v>672</v>
      </c>
      <c r="J270" s="7" t="s">
        <v>767</v>
      </c>
      <c r="K270" s="7" t="str">
        <f>HYPERLINK("http://slimages.macys.com/is/image/MCY/17387590 ")</f>
        <v xml:space="preserve">http://slimages.macys.com/is/image/MCY/17387590 </v>
      </c>
    </row>
    <row r="271" spans="1:11" ht="20.100000000000001" customHeight="1" x14ac:dyDescent="0.25">
      <c r="A271" s="13" t="s">
        <v>160</v>
      </c>
      <c r="B271" s="14">
        <v>13814657</v>
      </c>
      <c r="C271" s="20">
        <v>819352029399</v>
      </c>
      <c r="D271" s="6" t="s">
        <v>381</v>
      </c>
      <c r="E271" s="19">
        <v>1</v>
      </c>
      <c r="F271" s="15">
        <v>23.99</v>
      </c>
      <c r="G271" s="15">
        <v>23.99</v>
      </c>
      <c r="H271" s="7" t="s">
        <v>833</v>
      </c>
      <c r="I271" s="7" t="s">
        <v>666</v>
      </c>
      <c r="J271" s="7" t="s">
        <v>901</v>
      </c>
      <c r="K271" s="7" t="str">
        <f>HYPERLINK("http://slimages.macys.com/is/image/MCY/12477943 ")</f>
        <v xml:space="preserve">http://slimages.macys.com/is/image/MCY/12477943 </v>
      </c>
    </row>
    <row r="272" spans="1:11" ht="20.100000000000001" customHeight="1" x14ac:dyDescent="0.25">
      <c r="A272" s="13" t="s">
        <v>160</v>
      </c>
      <c r="B272" s="14">
        <v>13814657</v>
      </c>
      <c r="C272" s="20">
        <v>840008370541</v>
      </c>
      <c r="D272" s="6" t="s">
        <v>801</v>
      </c>
      <c r="E272" s="19">
        <v>1</v>
      </c>
      <c r="F272" s="15">
        <v>54.99</v>
      </c>
      <c r="G272" s="15">
        <v>54.99</v>
      </c>
      <c r="H272" s="7" t="s">
        <v>668</v>
      </c>
      <c r="I272" s="7" t="s">
        <v>669</v>
      </c>
      <c r="J272" s="7" t="s">
        <v>802</v>
      </c>
      <c r="K272" s="7" t="str">
        <f>HYPERLINK("http://slimages.macys.com/is/image/MCY/17546537 ")</f>
        <v xml:space="preserve">http://slimages.macys.com/is/image/MCY/17546537 </v>
      </c>
    </row>
    <row r="273" spans="1:11" ht="20.100000000000001" customHeight="1" x14ac:dyDescent="0.25">
      <c r="A273" s="13" t="s">
        <v>160</v>
      </c>
      <c r="B273" s="14">
        <v>13814657</v>
      </c>
      <c r="C273" s="20">
        <v>840008370565</v>
      </c>
      <c r="D273" s="6" t="s">
        <v>382</v>
      </c>
      <c r="E273" s="19">
        <v>1</v>
      </c>
      <c r="F273" s="15">
        <v>69.989999999999995</v>
      </c>
      <c r="G273" s="15">
        <v>69.989999999999995</v>
      </c>
      <c r="H273" s="7" t="s">
        <v>668</v>
      </c>
      <c r="I273" s="7" t="s">
        <v>669</v>
      </c>
      <c r="J273" s="7" t="s">
        <v>802</v>
      </c>
      <c r="K273" s="7" t="str">
        <f>HYPERLINK("http://slimages.macys.com/is/image/MCY/17546549 ")</f>
        <v xml:space="preserve">http://slimages.macys.com/is/image/MCY/17546549 </v>
      </c>
    </row>
    <row r="274" spans="1:11" ht="20.100000000000001" customHeight="1" x14ac:dyDescent="0.25">
      <c r="A274" s="13" t="s">
        <v>160</v>
      </c>
      <c r="B274" s="14">
        <v>13814657</v>
      </c>
      <c r="C274" s="20">
        <v>840444117571</v>
      </c>
      <c r="D274" s="6" t="s">
        <v>383</v>
      </c>
      <c r="E274" s="19">
        <v>2</v>
      </c>
      <c r="F274" s="15">
        <v>94.99</v>
      </c>
      <c r="G274" s="15">
        <v>189.98</v>
      </c>
      <c r="H274" s="7" t="s">
        <v>676</v>
      </c>
      <c r="I274" s="7" t="s">
        <v>672</v>
      </c>
      <c r="J274" s="7" t="s">
        <v>673</v>
      </c>
      <c r="K274" s="7" t="str">
        <f>HYPERLINK("http://slimages.macys.com/is/image/MCY/10144721 ")</f>
        <v xml:space="preserve">http://slimages.macys.com/is/image/MCY/10144721 </v>
      </c>
    </row>
    <row r="275" spans="1:11" ht="20.100000000000001" customHeight="1" x14ac:dyDescent="0.25">
      <c r="A275" s="13" t="s">
        <v>160</v>
      </c>
      <c r="B275" s="14">
        <v>13814657</v>
      </c>
      <c r="C275" s="20">
        <v>840444134264</v>
      </c>
      <c r="D275" s="6" t="s">
        <v>384</v>
      </c>
      <c r="E275" s="19">
        <v>1</v>
      </c>
      <c r="F275" s="15">
        <v>202.99</v>
      </c>
      <c r="G275" s="15">
        <v>202.99</v>
      </c>
      <c r="H275" s="7" t="s">
        <v>691</v>
      </c>
      <c r="I275" s="7" t="s">
        <v>672</v>
      </c>
      <c r="J275" s="7" t="s">
        <v>673</v>
      </c>
      <c r="K275" s="7" t="str">
        <f>HYPERLINK("http://slimages.macys.com/is/image/MCY/10781060 ")</f>
        <v xml:space="preserve">http://slimages.macys.com/is/image/MCY/10781060 </v>
      </c>
    </row>
    <row r="276" spans="1:11" ht="20.100000000000001" customHeight="1" x14ac:dyDescent="0.25">
      <c r="A276" s="13" t="s">
        <v>160</v>
      </c>
      <c r="B276" s="14">
        <v>13814657</v>
      </c>
      <c r="C276" s="20">
        <v>840444139344</v>
      </c>
      <c r="D276" s="6" t="s">
        <v>385</v>
      </c>
      <c r="E276" s="19">
        <v>1</v>
      </c>
      <c r="F276" s="15">
        <v>78.11</v>
      </c>
      <c r="G276" s="15">
        <v>78.11</v>
      </c>
      <c r="H276" s="7"/>
      <c r="I276" s="7" t="s">
        <v>672</v>
      </c>
      <c r="J276" s="7" t="s">
        <v>673</v>
      </c>
      <c r="K276" s="7" t="str">
        <f>HYPERLINK("http://slimages.macys.com/is/image/MCY/10781226 ")</f>
        <v xml:space="preserve">http://slimages.macys.com/is/image/MCY/10781226 </v>
      </c>
    </row>
    <row r="277" spans="1:11" ht="20.100000000000001" customHeight="1" x14ac:dyDescent="0.25">
      <c r="A277" s="13" t="s">
        <v>160</v>
      </c>
      <c r="B277" s="14">
        <v>13814657</v>
      </c>
      <c r="C277" s="20">
        <v>840970154798</v>
      </c>
      <c r="D277" s="6" t="s">
        <v>386</v>
      </c>
      <c r="E277" s="19">
        <v>1</v>
      </c>
      <c r="F277" s="15">
        <v>66.989999999999995</v>
      </c>
      <c r="G277" s="15">
        <v>66.989999999999995</v>
      </c>
      <c r="H277" s="7" t="s">
        <v>745</v>
      </c>
      <c r="I277" s="7" t="s">
        <v>674</v>
      </c>
      <c r="J277" s="7" t="s">
        <v>726</v>
      </c>
      <c r="K277" s="7" t="str">
        <f>HYPERLINK("http://slimages.macys.com/is/image/MCY/14425176 ")</f>
        <v xml:space="preserve">http://slimages.macys.com/is/image/MCY/14425176 </v>
      </c>
    </row>
    <row r="278" spans="1:11" ht="20.100000000000001" customHeight="1" x14ac:dyDescent="0.25">
      <c r="A278" s="13" t="s">
        <v>160</v>
      </c>
      <c r="B278" s="14">
        <v>13814657</v>
      </c>
      <c r="C278" s="20">
        <v>842164000751</v>
      </c>
      <c r="D278" s="6" t="s">
        <v>387</v>
      </c>
      <c r="E278" s="19">
        <v>1</v>
      </c>
      <c r="F278" s="15">
        <v>132.99</v>
      </c>
      <c r="G278" s="15">
        <v>132.99</v>
      </c>
      <c r="H278" s="7" t="s">
        <v>698</v>
      </c>
      <c r="I278" s="7" t="s">
        <v>666</v>
      </c>
      <c r="J278" s="7" t="s">
        <v>706</v>
      </c>
      <c r="K278" s="7" t="str">
        <f>HYPERLINK("http://slimages.macys.com/is/image/MCY/8433154 ")</f>
        <v xml:space="preserve">http://slimages.macys.com/is/image/MCY/8433154 </v>
      </c>
    </row>
    <row r="279" spans="1:11" ht="20.100000000000001" customHeight="1" x14ac:dyDescent="0.25">
      <c r="A279" s="13" t="s">
        <v>160</v>
      </c>
      <c r="B279" s="14">
        <v>13814657</v>
      </c>
      <c r="C279" s="20">
        <v>842933139835</v>
      </c>
      <c r="D279" s="6" t="s">
        <v>850</v>
      </c>
      <c r="E279" s="19">
        <v>1</v>
      </c>
      <c r="F279" s="15">
        <v>29.99</v>
      </c>
      <c r="G279" s="15">
        <v>29.99</v>
      </c>
      <c r="H279" s="7" t="s">
        <v>732</v>
      </c>
      <c r="I279" s="7" t="s">
        <v>666</v>
      </c>
      <c r="J279" s="7" t="s">
        <v>678</v>
      </c>
      <c r="K279" s="7" t="str">
        <f>HYPERLINK("http://slimages.macys.com/is/image/MCY/10681745 ")</f>
        <v xml:space="preserve">http://slimages.macys.com/is/image/MCY/10681745 </v>
      </c>
    </row>
    <row r="280" spans="1:11" ht="20.100000000000001" customHeight="1" x14ac:dyDescent="0.25">
      <c r="A280" s="13" t="s">
        <v>160</v>
      </c>
      <c r="B280" s="14">
        <v>13814657</v>
      </c>
      <c r="C280" s="20">
        <v>842933142118</v>
      </c>
      <c r="D280" s="6" t="s">
        <v>388</v>
      </c>
      <c r="E280" s="19">
        <v>1</v>
      </c>
      <c r="F280" s="15">
        <v>66.989999999999995</v>
      </c>
      <c r="G280" s="15">
        <v>66.989999999999995</v>
      </c>
      <c r="H280" s="7" t="s">
        <v>799</v>
      </c>
      <c r="I280" s="7" t="s">
        <v>666</v>
      </c>
      <c r="J280" s="7" t="s">
        <v>678</v>
      </c>
      <c r="K280" s="7" t="str">
        <f>HYPERLINK("http://slimages.macys.com/is/image/MCY/10797926 ")</f>
        <v xml:space="preserve">http://slimages.macys.com/is/image/MCY/10797926 </v>
      </c>
    </row>
    <row r="281" spans="1:11" ht="20.100000000000001" customHeight="1" x14ac:dyDescent="0.25">
      <c r="A281" s="13" t="s">
        <v>160</v>
      </c>
      <c r="B281" s="14">
        <v>13814657</v>
      </c>
      <c r="C281" s="20">
        <v>842933163403</v>
      </c>
      <c r="D281" s="6" t="s">
        <v>389</v>
      </c>
      <c r="E281" s="19">
        <v>1</v>
      </c>
      <c r="F281" s="15">
        <v>43.99</v>
      </c>
      <c r="G281" s="15">
        <v>43.99</v>
      </c>
      <c r="H281" s="7" t="s">
        <v>732</v>
      </c>
      <c r="I281" s="7" t="s">
        <v>666</v>
      </c>
      <c r="J281" s="7" t="s">
        <v>678</v>
      </c>
      <c r="K281" s="7" t="str">
        <f>HYPERLINK("http://slimages.macys.com/is/image/MCY/10436616 ")</f>
        <v xml:space="preserve">http://slimages.macys.com/is/image/MCY/10436616 </v>
      </c>
    </row>
    <row r="282" spans="1:11" ht="20.100000000000001" customHeight="1" x14ac:dyDescent="0.25">
      <c r="A282" s="13" t="s">
        <v>160</v>
      </c>
      <c r="B282" s="14">
        <v>13814657</v>
      </c>
      <c r="C282" s="20">
        <v>842941138882</v>
      </c>
      <c r="D282" s="6" t="s">
        <v>390</v>
      </c>
      <c r="E282" s="19">
        <v>1</v>
      </c>
      <c r="F282" s="15">
        <v>31.99</v>
      </c>
      <c r="G282" s="15">
        <v>31.99</v>
      </c>
      <c r="H282" s="7" t="s">
        <v>745</v>
      </c>
      <c r="I282" s="7" t="s">
        <v>666</v>
      </c>
      <c r="J282" s="7" t="s">
        <v>953</v>
      </c>
      <c r="K282" s="7" t="str">
        <f>HYPERLINK("http://slimages.macys.com/is/image/MCY/11317806 ")</f>
        <v xml:space="preserve">http://slimages.macys.com/is/image/MCY/11317806 </v>
      </c>
    </row>
    <row r="283" spans="1:11" ht="20.100000000000001" customHeight="1" x14ac:dyDescent="0.25">
      <c r="A283" s="13" t="s">
        <v>160</v>
      </c>
      <c r="B283" s="14">
        <v>13814657</v>
      </c>
      <c r="C283" s="20">
        <v>843669129503</v>
      </c>
      <c r="D283" s="6" t="s">
        <v>391</v>
      </c>
      <c r="E283" s="19">
        <v>1</v>
      </c>
      <c r="F283" s="15">
        <v>23.99</v>
      </c>
      <c r="G283" s="15">
        <v>23.99</v>
      </c>
      <c r="H283" s="7" t="s">
        <v>671</v>
      </c>
      <c r="I283" s="7" t="s">
        <v>682</v>
      </c>
      <c r="J283" s="7" t="s">
        <v>813</v>
      </c>
      <c r="K283" s="7" t="str">
        <f>HYPERLINK("http://slimages.macys.com/is/image/MCY/13067339 ")</f>
        <v xml:space="preserve">http://slimages.macys.com/is/image/MCY/13067339 </v>
      </c>
    </row>
    <row r="284" spans="1:11" ht="20.100000000000001" customHeight="1" x14ac:dyDescent="0.25">
      <c r="A284" s="13" t="s">
        <v>160</v>
      </c>
      <c r="B284" s="14">
        <v>13814657</v>
      </c>
      <c r="C284" s="20">
        <v>844353936179</v>
      </c>
      <c r="D284" s="6" t="s">
        <v>392</v>
      </c>
      <c r="E284" s="19">
        <v>2</v>
      </c>
      <c r="F284" s="15">
        <v>48.99</v>
      </c>
      <c r="G284" s="15">
        <v>97.98</v>
      </c>
      <c r="H284" s="7" t="s">
        <v>698</v>
      </c>
      <c r="I284" s="7" t="s">
        <v>674</v>
      </c>
      <c r="J284" s="7" t="s">
        <v>788</v>
      </c>
      <c r="K284" s="7" t="str">
        <f>HYPERLINK("http://slimages.macys.com/is/image/MCY/10906156 ")</f>
        <v xml:space="preserve">http://slimages.macys.com/is/image/MCY/10906156 </v>
      </c>
    </row>
    <row r="285" spans="1:11" ht="20.100000000000001" customHeight="1" x14ac:dyDescent="0.25">
      <c r="A285" s="13" t="s">
        <v>160</v>
      </c>
      <c r="B285" s="14">
        <v>13814657</v>
      </c>
      <c r="C285" s="20">
        <v>846339047671</v>
      </c>
      <c r="D285" s="6" t="s">
        <v>393</v>
      </c>
      <c r="E285" s="19">
        <v>1</v>
      </c>
      <c r="F285" s="15">
        <v>59.99</v>
      </c>
      <c r="G285" s="15">
        <v>59.99</v>
      </c>
      <c r="H285" s="7" t="s">
        <v>754</v>
      </c>
      <c r="I285" s="7" t="s">
        <v>689</v>
      </c>
      <c r="J285" s="7" t="s">
        <v>690</v>
      </c>
      <c r="K285" s="7" t="str">
        <f>HYPERLINK("http://slimages.macys.com/is/image/MCY/3391501 ")</f>
        <v xml:space="preserve">http://slimages.macys.com/is/image/MCY/3391501 </v>
      </c>
    </row>
    <row r="286" spans="1:11" ht="20.100000000000001" customHeight="1" x14ac:dyDescent="0.25">
      <c r="A286" s="13" t="s">
        <v>160</v>
      </c>
      <c r="B286" s="14">
        <v>13814657</v>
      </c>
      <c r="C286" s="20">
        <v>846339071973</v>
      </c>
      <c r="D286" s="6" t="s">
        <v>394</v>
      </c>
      <c r="E286" s="19">
        <v>1</v>
      </c>
      <c r="F286" s="15">
        <v>72.989999999999995</v>
      </c>
      <c r="G286" s="15">
        <v>72.989999999999995</v>
      </c>
      <c r="H286" s="7" t="s">
        <v>754</v>
      </c>
      <c r="I286" s="7" t="s">
        <v>689</v>
      </c>
      <c r="J286" s="7" t="s">
        <v>690</v>
      </c>
      <c r="K286" s="7" t="str">
        <f>HYPERLINK("http://slimages.macys.com/is/image/MCY/8437845 ")</f>
        <v xml:space="preserve">http://slimages.macys.com/is/image/MCY/8437845 </v>
      </c>
    </row>
    <row r="287" spans="1:11" ht="20.100000000000001" customHeight="1" x14ac:dyDescent="0.25">
      <c r="A287" s="13" t="s">
        <v>160</v>
      </c>
      <c r="B287" s="14">
        <v>13814657</v>
      </c>
      <c r="C287" s="20">
        <v>846339072000</v>
      </c>
      <c r="D287" s="6" t="s">
        <v>395</v>
      </c>
      <c r="E287" s="19">
        <v>1</v>
      </c>
      <c r="F287" s="15">
        <v>59.99</v>
      </c>
      <c r="G287" s="15">
        <v>59.99</v>
      </c>
      <c r="H287" s="7" t="s">
        <v>754</v>
      </c>
      <c r="I287" s="7" t="s">
        <v>689</v>
      </c>
      <c r="J287" s="7" t="s">
        <v>690</v>
      </c>
      <c r="K287" s="7" t="str">
        <f>HYPERLINK("http://slimages.macys.com/is/image/MCY/8437847 ")</f>
        <v xml:space="preserve">http://slimages.macys.com/is/image/MCY/8437847 </v>
      </c>
    </row>
    <row r="288" spans="1:11" ht="20.100000000000001" customHeight="1" x14ac:dyDescent="0.25">
      <c r="A288" s="13" t="s">
        <v>160</v>
      </c>
      <c r="B288" s="14">
        <v>13814657</v>
      </c>
      <c r="C288" s="20">
        <v>846339074844</v>
      </c>
      <c r="D288" s="6" t="s">
        <v>396</v>
      </c>
      <c r="E288" s="19">
        <v>1</v>
      </c>
      <c r="F288" s="15">
        <v>34.99</v>
      </c>
      <c r="G288" s="15">
        <v>34.99</v>
      </c>
      <c r="H288" s="7" t="s">
        <v>677</v>
      </c>
      <c r="I288" s="7" t="s">
        <v>689</v>
      </c>
      <c r="J288" s="7" t="s">
        <v>690</v>
      </c>
      <c r="K288" s="7" t="str">
        <f>HYPERLINK("http://slimages.macys.com/is/image/MCY/8794124 ")</f>
        <v xml:space="preserve">http://slimages.macys.com/is/image/MCY/8794124 </v>
      </c>
    </row>
    <row r="289" spans="1:11" ht="20.100000000000001" customHeight="1" x14ac:dyDescent="0.25">
      <c r="A289" s="13" t="s">
        <v>160</v>
      </c>
      <c r="B289" s="14">
        <v>13814657</v>
      </c>
      <c r="C289" s="20">
        <v>846339074936</v>
      </c>
      <c r="D289" s="6" t="s">
        <v>397</v>
      </c>
      <c r="E289" s="19">
        <v>1</v>
      </c>
      <c r="F289" s="15">
        <v>34.99</v>
      </c>
      <c r="G289" s="15">
        <v>34.99</v>
      </c>
      <c r="H289" s="7" t="s">
        <v>754</v>
      </c>
      <c r="I289" s="7" t="s">
        <v>689</v>
      </c>
      <c r="J289" s="7" t="s">
        <v>690</v>
      </c>
      <c r="K289" s="7" t="str">
        <f>HYPERLINK("http://slimages.macys.com/is/image/MCY/8794124 ")</f>
        <v xml:space="preserve">http://slimages.macys.com/is/image/MCY/8794124 </v>
      </c>
    </row>
    <row r="290" spans="1:11" ht="20.100000000000001" customHeight="1" x14ac:dyDescent="0.25">
      <c r="A290" s="13" t="s">
        <v>160</v>
      </c>
      <c r="B290" s="14">
        <v>13814657</v>
      </c>
      <c r="C290" s="20">
        <v>846339082177</v>
      </c>
      <c r="D290" s="6" t="s">
        <v>398</v>
      </c>
      <c r="E290" s="19">
        <v>1</v>
      </c>
      <c r="F290" s="15">
        <v>379.99</v>
      </c>
      <c r="G290" s="15">
        <v>379.99</v>
      </c>
      <c r="H290" s="7" t="s">
        <v>745</v>
      </c>
      <c r="I290" s="7" t="s">
        <v>689</v>
      </c>
      <c r="J290" s="7" t="s">
        <v>690</v>
      </c>
      <c r="K290" s="7" t="str">
        <f>HYPERLINK("http://slimages.macys.com/is/image/MCY/9355095 ")</f>
        <v xml:space="preserve">http://slimages.macys.com/is/image/MCY/9355095 </v>
      </c>
    </row>
    <row r="291" spans="1:11" ht="20.100000000000001" customHeight="1" x14ac:dyDescent="0.25">
      <c r="A291" s="13" t="s">
        <v>160</v>
      </c>
      <c r="B291" s="14">
        <v>13814657</v>
      </c>
      <c r="C291" s="20">
        <v>848336061407</v>
      </c>
      <c r="D291" s="6" t="s">
        <v>399</v>
      </c>
      <c r="E291" s="19">
        <v>2</v>
      </c>
      <c r="F291" s="15">
        <v>47.99</v>
      </c>
      <c r="G291" s="15">
        <v>95.98</v>
      </c>
      <c r="H291" s="7" t="s">
        <v>784</v>
      </c>
      <c r="I291" s="7" t="s">
        <v>672</v>
      </c>
      <c r="J291" s="7" t="s">
        <v>750</v>
      </c>
      <c r="K291" s="7" t="str">
        <f>HYPERLINK("http://slimages.macys.com/is/image/MCY/11629278 ")</f>
        <v xml:space="preserve">http://slimages.macys.com/is/image/MCY/11629278 </v>
      </c>
    </row>
    <row r="292" spans="1:11" ht="20.100000000000001" customHeight="1" x14ac:dyDescent="0.25">
      <c r="A292" s="13" t="s">
        <v>160</v>
      </c>
      <c r="B292" s="14">
        <v>13814657</v>
      </c>
      <c r="C292" s="20">
        <v>848405050059</v>
      </c>
      <c r="D292" s="6" t="s">
        <v>400</v>
      </c>
      <c r="E292" s="19">
        <v>3</v>
      </c>
      <c r="F292" s="15">
        <v>2.99</v>
      </c>
      <c r="G292" s="15">
        <v>8.9700000000000006</v>
      </c>
      <c r="H292" s="7" t="s">
        <v>807</v>
      </c>
      <c r="I292" s="7" t="s">
        <v>752</v>
      </c>
      <c r="J292" s="7" t="s">
        <v>778</v>
      </c>
      <c r="K292" s="7" t="str">
        <f>HYPERLINK("http://slimages.macys.com/is/image/MCY/18576167 ")</f>
        <v xml:space="preserve">http://slimages.macys.com/is/image/MCY/18576167 </v>
      </c>
    </row>
    <row r="293" spans="1:11" ht="20.100000000000001" customHeight="1" x14ac:dyDescent="0.25">
      <c r="A293" s="13" t="s">
        <v>160</v>
      </c>
      <c r="B293" s="14">
        <v>13814657</v>
      </c>
      <c r="C293" s="20">
        <v>848742045480</v>
      </c>
      <c r="D293" s="6" t="s">
        <v>401</v>
      </c>
      <c r="E293" s="19">
        <v>1</v>
      </c>
      <c r="F293" s="15">
        <v>49.99</v>
      </c>
      <c r="G293" s="15">
        <v>49.99</v>
      </c>
      <c r="H293" s="7" t="s">
        <v>668</v>
      </c>
      <c r="I293" s="7" t="s">
        <v>682</v>
      </c>
      <c r="J293" s="7" t="s">
        <v>675</v>
      </c>
      <c r="K293" s="7" t="str">
        <f>HYPERLINK("http://slimages.macys.com/is/image/MCY/10020569 ")</f>
        <v xml:space="preserve">http://slimages.macys.com/is/image/MCY/10020569 </v>
      </c>
    </row>
    <row r="294" spans="1:11" ht="20.100000000000001" customHeight="1" x14ac:dyDescent="0.25">
      <c r="A294" s="13" t="s">
        <v>160</v>
      </c>
      <c r="B294" s="14">
        <v>13814657</v>
      </c>
      <c r="C294" s="20">
        <v>848742062340</v>
      </c>
      <c r="D294" s="6" t="s">
        <v>402</v>
      </c>
      <c r="E294" s="19">
        <v>1</v>
      </c>
      <c r="F294" s="15">
        <v>131.99</v>
      </c>
      <c r="G294" s="15">
        <v>131.99</v>
      </c>
      <c r="H294" s="7" t="s">
        <v>676</v>
      </c>
      <c r="I294" s="7" t="s">
        <v>674</v>
      </c>
      <c r="J294" s="7" t="s">
        <v>675</v>
      </c>
      <c r="K294" s="7" t="str">
        <f>HYPERLINK("http://slimages.macys.com/is/image/MCY/11495886 ")</f>
        <v xml:space="preserve">http://slimages.macys.com/is/image/MCY/11495886 </v>
      </c>
    </row>
    <row r="295" spans="1:11" ht="20.100000000000001" customHeight="1" x14ac:dyDescent="0.25">
      <c r="A295" s="13" t="s">
        <v>160</v>
      </c>
      <c r="B295" s="14">
        <v>13814657</v>
      </c>
      <c r="C295" s="20">
        <v>848742077702</v>
      </c>
      <c r="D295" s="6" t="s">
        <v>403</v>
      </c>
      <c r="E295" s="19">
        <v>2</v>
      </c>
      <c r="F295" s="15">
        <v>86.99</v>
      </c>
      <c r="G295" s="15">
        <v>173.98</v>
      </c>
      <c r="H295" s="7" t="s">
        <v>668</v>
      </c>
      <c r="I295" s="7" t="s">
        <v>674</v>
      </c>
      <c r="J295" s="7" t="s">
        <v>675</v>
      </c>
      <c r="K295" s="7" t="str">
        <f>HYPERLINK("http://slimages.macys.com/is/image/MCY/12225205 ")</f>
        <v xml:space="preserve">http://slimages.macys.com/is/image/MCY/12225205 </v>
      </c>
    </row>
    <row r="296" spans="1:11" ht="20.100000000000001" customHeight="1" x14ac:dyDescent="0.25">
      <c r="A296" s="13" t="s">
        <v>160</v>
      </c>
      <c r="B296" s="14">
        <v>13814657</v>
      </c>
      <c r="C296" s="20">
        <v>849709017519</v>
      </c>
      <c r="D296" s="6" t="s">
        <v>404</v>
      </c>
      <c r="E296" s="19">
        <v>7</v>
      </c>
      <c r="F296" s="15">
        <v>55.99</v>
      </c>
      <c r="G296" s="15">
        <v>391.93</v>
      </c>
      <c r="H296" s="7" t="s">
        <v>691</v>
      </c>
      <c r="I296" s="7" t="s">
        <v>752</v>
      </c>
      <c r="J296" s="7" t="s">
        <v>405</v>
      </c>
      <c r="K296" s="7" t="str">
        <f>HYPERLINK("http://slimages.macys.com/is/image/MCY/13917919 ")</f>
        <v xml:space="preserve">http://slimages.macys.com/is/image/MCY/13917919 </v>
      </c>
    </row>
    <row r="297" spans="1:11" ht="20.100000000000001" customHeight="1" x14ac:dyDescent="0.25">
      <c r="A297" s="13" t="s">
        <v>160</v>
      </c>
      <c r="B297" s="14">
        <v>13814657</v>
      </c>
      <c r="C297" s="20">
        <v>850001843638</v>
      </c>
      <c r="D297" s="6" t="s">
        <v>406</v>
      </c>
      <c r="E297" s="19">
        <v>1</v>
      </c>
      <c r="F297" s="15">
        <v>23.99</v>
      </c>
      <c r="G297" s="15">
        <v>23.99</v>
      </c>
      <c r="H297" s="7" t="s">
        <v>665</v>
      </c>
      <c r="I297" s="7" t="s">
        <v>666</v>
      </c>
      <c r="J297" s="7" t="s">
        <v>407</v>
      </c>
      <c r="K297" s="7" t="str">
        <f>HYPERLINK("http://slimages.macys.com/is/image/MCY/16975657 ")</f>
        <v xml:space="preserve">http://slimages.macys.com/is/image/MCY/16975657 </v>
      </c>
    </row>
    <row r="298" spans="1:11" ht="20.100000000000001" customHeight="1" x14ac:dyDescent="0.25">
      <c r="A298" s="13" t="s">
        <v>160</v>
      </c>
      <c r="B298" s="14">
        <v>13814657</v>
      </c>
      <c r="C298" s="20">
        <v>850011456552</v>
      </c>
      <c r="D298" s="6" t="s">
        <v>408</v>
      </c>
      <c r="E298" s="19">
        <v>1</v>
      </c>
      <c r="F298" s="15">
        <v>449.99</v>
      </c>
      <c r="G298" s="15">
        <v>449.99</v>
      </c>
      <c r="H298" s="7" t="s">
        <v>668</v>
      </c>
      <c r="I298" s="7" t="s">
        <v>666</v>
      </c>
      <c r="J298" s="7" t="s">
        <v>409</v>
      </c>
      <c r="K298" s="7" t="str">
        <f>HYPERLINK("http://slimages.macys.com/is/image/MCY/16147159 ")</f>
        <v xml:space="preserve">http://slimages.macys.com/is/image/MCY/16147159 </v>
      </c>
    </row>
    <row r="299" spans="1:11" ht="20.100000000000001" customHeight="1" x14ac:dyDescent="0.25">
      <c r="A299" s="13" t="s">
        <v>160</v>
      </c>
      <c r="B299" s="14">
        <v>13814657</v>
      </c>
      <c r="C299" s="20">
        <v>850011548875</v>
      </c>
      <c r="D299" s="6" t="s">
        <v>410</v>
      </c>
      <c r="E299" s="19">
        <v>1</v>
      </c>
      <c r="F299" s="15">
        <v>49.99</v>
      </c>
      <c r="G299" s="15">
        <v>49.99</v>
      </c>
      <c r="H299" s="7"/>
      <c r="I299" s="7" t="s">
        <v>672</v>
      </c>
      <c r="J299" s="7" t="s">
        <v>926</v>
      </c>
      <c r="K299" s="7" t="str">
        <f>HYPERLINK("http://slimages.macys.com/is/image/MCY/19199204 ")</f>
        <v xml:space="preserve">http://slimages.macys.com/is/image/MCY/19199204 </v>
      </c>
    </row>
    <row r="300" spans="1:11" ht="20.100000000000001" customHeight="1" x14ac:dyDescent="0.25">
      <c r="A300" s="13" t="s">
        <v>160</v>
      </c>
      <c r="B300" s="14">
        <v>13814657</v>
      </c>
      <c r="C300" s="20">
        <v>879421005365</v>
      </c>
      <c r="D300" s="6" t="s">
        <v>411</v>
      </c>
      <c r="E300" s="19">
        <v>1</v>
      </c>
      <c r="F300" s="15">
        <v>130.99</v>
      </c>
      <c r="G300" s="15">
        <v>130.99</v>
      </c>
      <c r="H300" s="7" t="s">
        <v>708</v>
      </c>
      <c r="I300" s="7" t="s">
        <v>672</v>
      </c>
      <c r="J300" s="7" t="s">
        <v>767</v>
      </c>
      <c r="K300" s="7" t="str">
        <f>HYPERLINK("http://slimages.macys.com/is/image/MCY/11505112 ")</f>
        <v xml:space="preserve">http://slimages.macys.com/is/image/MCY/11505112 </v>
      </c>
    </row>
    <row r="301" spans="1:11" ht="20.100000000000001" customHeight="1" x14ac:dyDescent="0.25">
      <c r="A301" s="13" t="s">
        <v>160</v>
      </c>
      <c r="B301" s="14">
        <v>13814657</v>
      </c>
      <c r="C301" s="20">
        <v>883893359116</v>
      </c>
      <c r="D301" s="6" t="s">
        <v>412</v>
      </c>
      <c r="E301" s="19">
        <v>1</v>
      </c>
      <c r="F301" s="15">
        <v>149.99</v>
      </c>
      <c r="G301" s="15">
        <v>149.99</v>
      </c>
      <c r="H301" s="7" t="s">
        <v>807</v>
      </c>
      <c r="I301" s="7" t="s">
        <v>689</v>
      </c>
      <c r="J301" s="7" t="s">
        <v>861</v>
      </c>
      <c r="K301" s="7" t="str">
        <f>HYPERLINK("http://slimages.macys.com/is/image/MCY/15613590 ")</f>
        <v xml:space="preserve">http://slimages.macys.com/is/image/MCY/15613590 </v>
      </c>
    </row>
    <row r="302" spans="1:11" ht="20.100000000000001" customHeight="1" x14ac:dyDescent="0.25">
      <c r="A302" s="13" t="s">
        <v>160</v>
      </c>
      <c r="B302" s="14">
        <v>13814657</v>
      </c>
      <c r="C302" s="20">
        <v>883893534162</v>
      </c>
      <c r="D302" s="6" t="s">
        <v>413</v>
      </c>
      <c r="E302" s="19">
        <v>2</v>
      </c>
      <c r="F302" s="15">
        <v>39.99</v>
      </c>
      <c r="G302" s="15">
        <v>79.98</v>
      </c>
      <c r="H302" s="7" t="s">
        <v>668</v>
      </c>
      <c r="I302" s="7" t="s">
        <v>723</v>
      </c>
      <c r="J302" s="7" t="s">
        <v>783</v>
      </c>
      <c r="K302" s="7" t="str">
        <f>HYPERLINK("http://slimages.macys.com/is/image/MCY/15729755 ")</f>
        <v xml:space="preserve">http://slimages.macys.com/is/image/MCY/15729755 </v>
      </c>
    </row>
    <row r="303" spans="1:11" ht="20.100000000000001" customHeight="1" x14ac:dyDescent="0.25">
      <c r="A303" s="13" t="s">
        <v>160</v>
      </c>
      <c r="B303" s="14">
        <v>13814657</v>
      </c>
      <c r="C303" s="20">
        <v>883893546875</v>
      </c>
      <c r="D303" s="6" t="s">
        <v>414</v>
      </c>
      <c r="E303" s="19">
        <v>1</v>
      </c>
      <c r="F303" s="15">
        <v>44.99</v>
      </c>
      <c r="G303" s="15">
        <v>44.99</v>
      </c>
      <c r="H303" s="7" t="s">
        <v>742</v>
      </c>
      <c r="I303" s="7" t="s">
        <v>723</v>
      </c>
      <c r="J303" s="7" t="s">
        <v>772</v>
      </c>
      <c r="K303" s="7" t="str">
        <f>HYPERLINK("http://slimages.macys.com/is/image/MCY/10312697 ")</f>
        <v xml:space="preserve">http://slimages.macys.com/is/image/MCY/10312697 </v>
      </c>
    </row>
    <row r="304" spans="1:11" ht="20.100000000000001" customHeight="1" x14ac:dyDescent="0.25">
      <c r="A304" s="13" t="s">
        <v>160</v>
      </c>
      <c r="B304" s="14">
        <v>13814657</v>
      </c>
      <c r="C304" s="20">
        <v>883893621633</v>
      </c>
      <c r="D304" s="6" t="s">
        <v>415</v>
      </c>
      <c r="E304" s="19">
        <v>1</v>
      </c>
      <c r="F304" s="15">
        <v>24.99</v>
      </c>
      <c r="G304" s="15">
        <v>24.99</v>
      </c>
      <c r="H304" s="7" t="s">
        <v>744</v>
      </c>
      <c r="I304" s="7" t="s">
        <v>723</v>
      </c>
      <c r="J304" s="7" t="s">
        <v>772</v>
      </c>
      <c r="K304" s="7" t="str">
        <f>HYPERLINK("http://slimages.macys.com/is/image/MCY/16949728 ")</f>
        <v xml:space="preserve">http://slimages.macys.com/is/image/MCY/16949728 </v>
      </c>
    </row>
    <row r="305" spans="1:11" ht="20.100000000000001" customHeight="1" x14ac:dyDescent="0.25">
      <c r="A305" s="13" t="s">
        <v>160</v>
      </c>
      <c r="B305" s="14">
        <v>13814657</v>
      </c>
      <c r="C305" s="20">
        <v>883893636767</v>
      </c>
      <c r="D305" s="6" t="s">
        <v>416</v>
      </c>
      <c r="E305" s="19">
        <v>4</v>
      </c>
      <c r="F305" s="15">
        <v>49.99</v>
      </c>
      <c r="G305" s="15">
        <v>199.96</v>
      </c>
      <c r="H305" s="7" t="s">
        <v>717</v>
      </c>
      <c r="I305" s="7" t="s">
        <v>689</v>
      </c>
      <c r="J305" s="7" t="s">
        <v>861</v>
      </c>
      <c r="K305" s="7" t="str">
        <f>HYPERLINK("http://slimages.macys.com/is/image/MCY/14750593 ")</f>
        <v xml:space="preserve">http://slimages.macys.com/is/image/MCY/14750593 </v>
      </c>
    </row>
    <row r="306" spans="1:11" ht="20.100000000000001" customHeight="1" x14ac:dyDescent="0.25">
      <c r="A306" s="13" t="s">
        <v>160</v>
      </c>
      <c r="B306" s="14">
        <v>13814657</v>
      </c>
      <c r="C306" s="20">
        <v>784857936582</v>
      </c>
      <c r="D306" s="6" t="s">
        <v>417</v>
      </c>
      <c r="E306" s="19">
        <v>1</v>
      </c>
      <c r="F306" s="15">
        <v>19.989999999999998</v>
      </c>
      <c r="G306" s="15">
        <v>19.989999999999998</v>
      </c>
      <c r="H306" s="7" t="s">
        <v>701</v>
      </c>
      <c r="I306" s="7" t="s">
        <v>682</v>
      </c>
      <c r="J306" s="7" t="s">
        <v>812</v>
      </c>
      <c r="K306" s="7"/>
    </row>
    <row r="307" spans="1:11" ht="20.100000000000001" customHeight="1" x14ac:dyDescent="0.25">
      <c r="A307" s="13" t="s">
        <v>160</v>
      </c>
      <c r="B307" s="14">
        <v>13814657</v>
      </c>
      <c r="C307" s="20">
        <v>733003461164</v>
      </c>
      <c r="D307" s="6" t="s">
        <v>418</v>
      </c>
      <c r="E307" s="19">
        <v>1</v>
      </c>
      <c r="F307" s="15">
        <v>179.99</v>
      </c>
      <c r="G307" s="15">
        <v>179.99</v>
      </c>
      <c r="H307" s="7" t="s">
        <v>768</v>
      </c>
      <c r="I307" s="7" t="s">
        <v>680</v>
      </c>
      <c r="J307" s="7" t="s">
        <v>817</v>
      </c>
      <c r="K307" s="7"/>
    </row>
    <row r="308" spans="1:11" ht="20.100000000000001" customHeight="1" x14ac:dyDescent="0.25">
      <c r="A308" s="13" t="s">
        <v>160</v>
      </c>
      <c r="B308" s="14">
        <v>13814657</v>
      </c>
      <c r="C308" s="20">
        <v>191790054547</v>
      </c>
      <c r="D308" s="6" t="s">
        <v>419</v>
      </c>
      <c r="E308" s="19">
        <v>1</v>
      </c>
      <c r="F308" s="15">
        <v>54.99</v>
      </c>
      <c r="G308" s="15">
        <v>54.99</v>
      </c>
      <c r="H308" s="7" t="s">
        <v>698</v>
      </c>
      <c r="I308" s="7" t="s">
        <v>666</v>
      </c>
      <c r="J308" s="7" t="s">
        <v>706</v>
      </c>
      <c r="K308" s="7"/>
    </row>
    <row r="309" spans="1:11" ht="20.100000000000001" customHeight="1" x14ac:dyDescent="0.25">
      <c r="A309" s="13" t="s">
        <v>160</v>
      </c>
      <c r="B309" s="14">
        <v>13814657</v>
      </c>
      <c r="C309" s="20">
        <v>86569728623</v>
      </c>
      <c r="D309" s="6" t="s">
        <v>420</v>
      </c>
      <c r="E309" s="19">
        <v>1</v>
      </c>
      <c r="F309" s="15">
        <v>49.99</v>
      </c>
      <c r="G309" s="15">
        <v>49.99</v>
      </c>
      <c r="H309" s="7" t="s">
        <v>770</v>
      </c>
      <c r="I309" s="7" t="s">
        <v>1294</v>
      </c>
      <c r="J309" s="7" t="s">
        <v>815</v>
      </c>
      <c r="K309" s="7"/>
    </row>
    <row r="310" spans="1:11" ht="20.100000000000001" customHeight="1" x14ac:dyDescent="0.25">
      <c r="A310" s="13" t="s">
        <v>160</v>
      </c>
      <c r="B310" s="14">
        <v>13814657</v>
      </c>
      <c r="C310" s="20">
        <v>91116729749</v>
      </c>
      <c r="D310" s="6" t="s">
        <v>421</v>
      </c>
      <c r="E310" s="19">
        <v>1</v>
      </c>
      <c r="F310" s="15">
        <v>16.989999999999998</v>
      </c>
      <c r="G310" s="15">
        <v>16.989999999999998</v>
      </c>
      <c r="H310" s="7" t="s">
        <v>742</v>
      </c>
      <c r="I310" s="7" t="s">
        <v>666</v>
      </c>
      <c r="J310" s="7" t="s">
        <v>929</v>
      </c>
      <c r="K310" s="7"/>
    </row>
    <row r="311" spans="1:11" ht="20.100000000000001" customHeight="1" x14ac:dyDescent="0.25">
      <c r="A311" s="13" t="s">
        <v>160</v>
      </c>
      <c r="B311" s="14">
        <v>13814657</v>
      </c>
      <c r="C311" s="20">
        <v>191790054196</v>
      </c>
      <c r="D311" s="6" t="s">
        <v>422</v>
      </c>
      <c r="E311" s="19">
        <v>2</v>
      </c>
      <c r="F311" s="15">
        <v>49.99</v>
      </c>
      <c r="G311" s="15">
        <v>99.98</v>
      </c>
      <c r="H311" s="7" t="s">
        <v>668</v>
      </c>
      <c r="I311" s="7" t="s">
        <v>666</v>
      </c>
      <c r="J311" s="7" t="s">
        <v>706</v>
      </c>
      <c r="K311" s="7"/>
    </row>
    <row r="312" spans="1:11" ht="20.100000000000001" customHeight="1" x14ac:dyDescent="0.25">
      <c r="A312" s="13" t="s">
        <v>160</v>
      </c>
      <c r="B312" s="14">
        <v>13814657</v>
      </c>
      <c r="C312" s="20">
        <v>733003657994</v>
      </c>
      <c r="D312" s="6" t="s">
        <v>1237</v>
      </c>
      <c r="E312" s="19">
        <v>2</v>
      </c>
      <c r="F312" s="15">
        <v>299</v>
      </c>
      <c r="G312" s="15">
        <v>598</v>
      </c>
      <c r="H312" s="7" t="s">
        <v>668</v>
      </c>
      <c r="I312" s="7" t="s">
        <v>680</v>
      </c>
      <c r="J312" s="7" t="s">
        <v>816</v>
      </c>
      <c r="K312" s="7"/>
    </row>
    <row r="313" spans="1:11" ht="20.100000000000001" customHeight="1" x14ac:dyDescent="0.25">
      <c r="A313" s="13" t="s">
        <v>160</v>
      </c>
      <c r="B313" s="14">
        <v>13814657</v>
      </c>
      <c r="C313" s="20">
        <v>628961003979</v>
      </c>
      <c r="D313" s="6" t="s">
        <v>423</v>
      </c>
      <c r="E313" s="19">
        <v>1</v>
      </c>
      <c r="F313" s="15">
        <v>149.99</v>
      </c>
      <c r="G313" s="15">
        <v>149.99</v>
      </c>
      <c r="H313" s="7" t="s">
        <v>676</v>
      </c>
      <c r="I313" s="7" t="s">
        <v>666</v>
      </c>
      <c r="J313" s="7" t="s">
        <v>855</v>
      </c>
      <c r="K313" s="7"/>
    </row>
    <row r="314" spans="1:11" ht="20.100000000000001" customHeight="1" x14ac:dyDescent="0.25">
      <c r="A314" s="13" t="s">
        <v>160</v>
      </c>
      <c r="B314" s="14">
        <v>13814657</v>
      </c>
      <c r="C314" s="20">
        <v>812228030949</v>
      </c>
      <c r="D314" s="6" t="s">
        <v>424</v>
      </c>
      <c r="E314" s="19">
        <v>1</v>
      </c>
      <c r="F314" s="15">
        <v>39.99</v>
      </c>
      <c r="G314" s="15">
        <v>39.99</v>
      </c>
      <c r="H314" s="7" t="s">
        <v>676</v>
      </c>
      <c r="I314" s="7" t="s">
        <v>736</v>
      </c>
      <c r="J314" s="7" t="s">
        <v>425</v>
      </c>
      <c r="K314" s="7"/>
    </row>
    <row r="315" spans="1:11" ht="20.100000000000001" customHeight="1" x14ac:dyDescent="0.25">
      <c r="A315" s="13" t="s">
        <v>160</v>
      </c>
      <c r="B315" s="14">
        <v>13814657</v>
      </c>
      <c r="C315" s="20">
        <v>191790053601</v>
      </c>
      <c r="D315" s="6" t="s">
        <v>426</v>
      </c>
      <c r="E315" s="19">
        <v>2</v>
      </c>
      <c r="F315" s="15">
        <v>39.99</v>
      </c>
      <c r="G315" s="15">
        <v>79.98</v>
      </c>
      <c r="H315" s="7" t="s">
        <v>668</v>
      </c>
      <c r="I315" s="7" t="s">
        <v>666</v>
      </c>
      <c r="J315" s="7" t="s">
        <v>706</v>
      </c>
      <c r="K315" s="7"/>
    </row>
    <row r="316" spans="1:11" ht="20.100000000000001" customHeight="1" x14ac:dyDescent="0.25">
      <c r="A316" s="13" t="s">
        <v>160</v>
      </c>
      <c r="B316" s="14">
        <v>13814657</v>
      </c>
      <c r="C316" s="20">
        <v>733003940058</v>
      </c>
      <c r="D316" s="6" t="s">
        <v>427</v>
      </c>
      <c r="E316" s="19">
        <v>1</v>
      </c>
      <c r="F316" s="15">
        <v>99.99</v>
      </c>
      <c r="G316" s="15">
        <v>99.99</v>
      </c>
      <c r="H316" s="7" t="s">
        <v>704</v>
      </c>
      <c r="I316" s="7" t="s">
        <v>797</v>
      </c>
      <c r="J316" s="7" t="s">
        <v>825</v>
      </c>
      <c r="K316" s="7"/>
    </row>
    <row r="317" spans="1:11" ht="20.100000000000001" customHeight="1" x14ac:dyDescent="0.25">
      <c r="A317" s="13" t="s">
        <v>160</v>
      </c>
      <c r="B317" s="14">
        <v>13814657</v>
      </c>
      <c r="C317" s="20">
        <v>679610838176</v>
      </c>
      <c r="D317" s="6" t="s">
        <v>428</v>
      </c>
      <c r="E317" s="19">
        <v>1</v>
      </c>
      <c r="F317" s="15">
        <v>29.99</v>
      </c>
      <c r="G317" s="15">
        <v>29.99</v>
      </c>
      <c r="H317" s="7" t="s">
        <v>677</v>
      </c>
      <c r="I317" s="7" t="s">
        <v>672</v>
      </c>
      <c r="J317" s="7" t="s">
        <v>774</v>
      </c>
      <c r="K317" s="7"/>
    </row>
    <row r="318" spans="1:11" ht="20.100000000000001" customHeight="1" x14ac:dyDescent="0.25">
      <c r="A318" s="13" t="s">
        <v>160</v>
      </c>
      <c r="B318" s="14">
        <v>13814657</v>
      </c>
      <c r="C318" s="20">
        <v>8058336768059</v>
      </c>
      <c r="D318" s="6" t="s">
        <v>429</v>
      </c>
      <c r="E318" s="19">
        <v>1</v>
      </c>
      <c r="F318" s="15">
        <v>225</v>
      </c>
      <c r="G318" s="15">
        <v>225</v>
      </c>
      <c r="H318" s="7" t="s">
        <v>771</v>
      </c>
      <c r="I318" s="7" t="s">
        <v>672</v>
      </c>
      <c r="J318" s="7" t="s">
        <v>430</v>
      </c>
      <c r="K318" s="7"/>
    </row>
    <row r="319" spans="1:11" ht="20.100000000000001" customHeight="1" x14ac:dyDescent="0.25">
      <c r="A319" s="13" t="s">
        <v>160</v>
      </c>
      <c r="B319" s="14">
        <v>13814657</v>
      </c>
      <c r="C319" s="20">
        <v>734737582002</v>
      </c>
      <c r="D319" s="6" t="s">
        <v>431</v>
      </c>
      <c r="E319" s="19">
        <v>1</v>
      </c>
      <c r="F319" s="15">
        <v>59.99</v>
      </c>
      <c r="G319" s="15">
        <v>59.99</v>
      </c>
      <c r="H319" s="7" t="s">
        <v>676</v>
      </c>
      <c r="I319" s="7" t="s">
        <v>672</v>
      </c>
      <c r="J319" s="7" t="s">
        <v>696</v>
      </c>
      <c r="K319" s="7"/>
    </row>
    <row r="320" spans="1:11" ht="20.100000000000001" customHeight="1" x14ac:dyDescent="0.25">
      <c r="A320" s="13" t="s">
        <v>160</v>
      </c>
      <c r="B320" s="14">
        <v>13814657</v>
      </c>
      <c r="C320" s="20">
        <v>788904004422</v>
      </c>
      <c r="D320" s="6" t="s">
        <v>432</v>
      </c>
      <c r="E320" s="19">
        <v>1</v>
      </c>
      <c r="F320" s="15">
        <v>131.99</v>
      </c>
      <c r="G320" s="15">
        <v>131.99</v>
      </c>
      <c r="H320" s="7" t="s">
        <v>668</v>
      </c>
      <c r="I320" s="7" t="s">
        <v>684</v>
      </c>
      <c r="J320" s="7" t="s">
        <v>685</v>
      </c>
      <c r="K320" s="7"/>
    </row>
    <row r="321" spans="1:11" ht="20.100000000000001" customHeight="1" x14ac:dyDescent="0.25">
      <c r="A321" s="13" t="s">
        <v>160</v>
      </c>
      <c r="B321" s="14">
        <v>13814657</v>
      </c>
      <c r="C321" s="20">
        <v>733003366469</v>
      </c>
      <c r="D321" s="6" t="s">
        <v>433</v>
      </c>
      <c r="E321" s="19">
        <v>1</v>
      </c>
      <c r="F321" s="15">
        <v>89.99</v>
      </c>
      <c r="G321" s="15">
        <v>89.99</v>
      </c>
      <c r="H321" s="7" t="s">
        <v>677</v>
      </c>
      <c r="I321" s="7" t="s">
        <v>736</v>
      </c>
      <c r="J321" s="7" t="s">
        <v>158</v>
      </c>
      <c r="K321" s="7"/>
    </row>
    <row r="322" spans="1:11" ht="20.100000000000001" customHeight="1" x14ac:dyDescent="0.25">
      <c r="A322" s="13" t="s">
        <v>160</v>
      </c>
      <c r="B322" s="14">
        <v>13814657</v>
      </c>
      <c r="C322" s="20">
        <v>86569750488</v>
      </c>
      <c r="D322" s="6" t="s">
        <v>434</v>
      </c>
      <c r="E322" s="19">
        <v>2</v>
      </c>
      <c r="F322" s="15">
        <v>39.99</v>
      </c>
      <c r="G322" s="15">
        <v>79.98</v>
      </c>
      <c r="H322" s="7"/>
      <c r="I322" s="7" t="s">
        <v>736</v>
      </c>
      <c r="J322" s="7" t="s">
        <v>679</v>
      </c>
      <c r="K322" s="7"/>
    </row>
    <row r="323" spans="1:11" ht="20.100000000000001" customHeight="1" x14ac:dyDescent="0.25">
      <c r="A323" s="13" t="s">
        <v>160</v>
      </c>
      <c r="B323" s="14">
        <v>13814657</v>
      </c>
      <c r="C323" s="20">
        <v>810055637164</v>
      </c>
      <c r="D323" s="6" t="s">
        <v>435</v>
      </c>
      <c r="E323" s="19">
        <v>2</v>
      </c>
      <c r="F323" s="15">
        <v>6.99</v>
      </c>
      <c r="G323" s="15">
        <v>13.98</v>
      </c>
      <c r="H323" s="7" t="s">
        <v>688</v>
      </c>
      <c r="I323" s="7" t="s">
        <v>752</v>
      </c>
      <c r="J323" s="7" t="s">
        <v>148</v>
      </c>
      <c r="K323" s="7"/>
    </row>
    <row r="324" spans="1:11" ht="20.100000000000001" customHeight="1" x14ac:dyDescent="0.25">
      <c r="A324" s="13" t="s">
        <v>160</v>
      </c>
      <c r="B324" s="14">
        <v>13814657</v>
      </c>
      <c r="C324" s="20">
        <v>810055637164</v>
      </c>
      <c r="D324" s="6" t="s">
        <v>435</v>
      </c>
      <c r="E324" s="19">
        <v>1</v>
      </c>
      <c r="F324" s="15">
        <v>6.99</v>
      </c>
      <c r="G324" s="15">
        <v>6.99</v>
      </c>
      <c r="H324" s="7" t="s">
        <v>688</v>
      </c>
      <c r="I324" s="7" t="s">
        <v>752</v>
      </c>
      <c r="J324" s="7" t="s">
        <v>148</v>
      </c>
      <c r="K324" s="7"/>
    </row>
    <row r="325" spans="1:11" ht="20.100000000000001" customHeight="1" x14ac:dyDescent="0.25">
      <c r="A325" s="13" t="s">
        <v>160</v>
      </c>
      <c r="B325" s="14">
        <v>13814657</v>
      </c>
      <c r="C325" s="20">
        <v>733004500114</v>
      </c>
      <c r="D325" s="6" t="s">
        <v>436</v>
      </c>
      <c r="E325" s="19">
        <v>1</v>
      </c>
      <c r="F325" s="15">
        <v>24.99</v>
      </c>
      <c r="G325" s="15">
        <v>24.99</v>
      </c>
      <c r="H325" s="7" t="s">
        <v>744</v>
      </c>
      <c r="I325" s="7" t="s">
        <v>836</v>
      </c>
      <c r="J325" s="7" t="s">
        <v>437</v>
      </c>
      <c r="K325" s="7"/>
    </row>
    <row r="326" spans="1:11" ht="20.100000000000001" customHeight="1" x14ac:dyDescent="0.25">
      <c r="A326" s="13" t="s">
        <v>160</v>
      </c>
      <c r="B326" s="14">
        <v>13814657</v>
      </c>
      <c r="C326" s="20">
        <v>679610838558</v>
      </c>
      <c r="D326" s="6" t="s">
        <v>438</v>
      </c>
      <c r="E326" s="19">
        <v>1</v>
      </c>
      <c r="F326" s="15">
        <v>59.99</v>
      </c>
      <c r="G326" s="15">
        <v>59.99</v>
      </c>
      <c r="H326" s="7" t="s">
        <v>711</v>
      </c>
      <c r="I326" s="7" t="s">
        <v>672</v>
      </c>
      <c r="J326" s="7" t="s">
        <v>774</v>
      </c>
      <c r="K326" s="7"/>
    </row>
    <row r="327" spans="1:11" ht="20.100000000000001" customHeight="1" x14ac:dyDescent="0.25">
      <c r="A327" s="13" t="s">
        <v>160</v>
      </c>
      <c r="B327" s="14">
        <v>13814657</v>
      </c>
      <c r="C327" s="20">
        <v>679610838558</v>
      </c>
      <c r="D327" s="6" t="s">
        <v>438</v>
      </c>
      <c r="E327" s="19">
        <v>1</v>
      </c>
      <c r="F327" s="15">
        <v>59.99</v>
      </c>
      <c r="G327" s="15">
        <v>59.99</v>
      </c>
      <c r="H327" s="7" t="s">
        <v>711</v>
      </c>
      <c r="I327" s="7" t="s">
        <v>672</v>
      </c>
      <c r="J327" s="7" t="s">
        <v>774</v>
      </c>
      <c r="K327" s="7"/>
    </row>
    <row r="328" spans="1:11" ht="20.100000000000001" customHeight="1" x14ac:dyDescent="0.25">
      <c r="A328" s="13" t="s">
        <v>160</v>
      </c>
      <c r="B328" s="14">
        <v>13814657</v>
      </c>
      <c r="C328" s="20">
        <v>400013532725</v>
      </c>
      <c r="D328" s="6" t="s">
        <v>713</v>
      </c>
      <c r="E328" s="19">
        <v>4</v>
      </c>
      <c r="F328" s="15">
        <v>40</v>
      </c>
      <c r="G328" s="15">
        <v>160</v>
      </c>
      <c r="H328" s="7" t="s">
        <v>714</v>
      </c>
      <c r="I328" s="7" t="s">
        <v>715</v>
      </c>
      <c r="J328" s="7" t="s">
        <v>716</v>
      </c>
      <c r="K328" s="7"/>
    </row>
    <row r="329" spans="1:11" ht="20.100000000000001" customHeight="1" x14ac:dyDescent="0.25">
      <c r="A329" s="13" t="s">
        <v>160</v>
      </c>
      <c r="B329" s="14">
        <v>13814657</v>
      </c>
      <c r="C329" s="20">
        <v>400013532725</v>
      </c>
      <c r="D329" s="6" t="s">
        <v>713</v>
      </c>
      <c r="E329" s="19">
        <v>4</v>
      </c>
      <c r="F329" s="15">
        <v>40</v>
      </c>
      <c r="G329" s="15">
        <v>160</v>
      </c>
      <c r="H329" s="7" t="s">
        <v>714</v>
      </c>
      <c r="I329" s="7" t="s">
        <v>715</v>
      </c>
      <c r="J329" s="7" t="s">
        <v>716</v>
      </c>
      <c r="K329" s="7"/>
    </row>
    <row r="330" spans="1:11" ht="20.100000000000001" customHeight="1" x14ac:dyDescent="0.25">
      <c r="A330" s="13" t="s">
        <v>160</v>
      </c>
      <c r="B330" s="14">
        <v>13814657</v>
      </c>
      <c r="C330" s="20">
        <v>400013532725</v>
      </c>
      <c r="D330" s="6" t="s">
        <v>713</v>
      </c>
      <c r="E330" s="19">
        <v>4</v>
      </c>
      <c r="F330" s="15">
        <v>40</v>
      </c>
      <c r="G330" s="15">
        <v>160</v>
      </c>
      <c r="H330" s="7" t="s">
        <v>714</v>
      </c>
      <c r="I330" s="7" t="s">
        <v>715</v>
      </c>
      <c r="J330" s="7" t="s">
        <v>716</v>
      </c>
      <c r="K330" s="7"/>
    </row>
    <row r="331" spans="1:11" ht="20.100000000000001" customHeight="1" x14ac:dyDescent="0.25">
      <c r="A331" s="13" t="s">
        <v>160</v>
      </c>
      <c r="B331" s="14">
        <v>13814657</v>
      </c>
      <c r="C331" s="20">
        <v>400013532725</v>
      </c>
      <c r="D331" s="6" t="s">
        <v>713</v>
      </c>
      <c r="E331" s="19">
        <v>5</v>
      </c>
      <c r="F331" s="15">
        <v>40</v>
      </c>
      <c r="G331" s="15">
        <v>200</v>
      </c>
      <c r="H331" s="7" t="s">
        <v>714</v>
      </c>
      <c r="I331" s="7" t="s">
        <v>715</v>
      </c>
      <c r="J331" s="7" t="s">
        <v>716</v>
      </c>
      <c r="K331" s="7"/>
    </row>
    <row r="332" spans="1:11" ht="20.100000000000001" customHeight="1" x14ac:dyDescent="0.25">
      <c r="A332" s="13" t="s">
        <v>160</v>
      </c>
      <c r="B332" s="14">
        <v>13814657</v>
      </c>
      <c r="C332" s="20">
        <v>400013532725</v>
      </c>
      <c r="D332" s="6" t="s">
        <v>713</v>
      </c>
      <c r="E332" s="19">
        <v>8</v>
      </c>
      <c r="F332" s="15">
        <v>40</v>
      </c>
      <c r="G332" s="15">
        <v>320</v>
      </c>
      <c r="H332" s="7" t="s">
        <v>714</v>
      </c>
      <c r="I332" s="7" t="s">
        <v>715</v>
      </c>
      <c r="J332" s="7" t="s">
        <v>716</v>
      </c>
      <c r="K332" s="7"/>
    </row>
    <row r="333" spans="1:11" ht="20.100000000000001" customHeight="1" x14ac:dyDescent="0.25">
      <c r="A333" s="13" t="s">
        <v>160</v>
      </c>
      <c r="B333" s="14">
        <v>13814657</v>
      </c>
      <c r="C333" s="20">
        <v>400013532725</v>
      </c>
      <c r="D333" s="6" t="s">
        <v>713</v>
      </c>
      <c r="E333" s="19">
        <v>5</v>
      </c>
      <c r="F333" s="15">
        <v>40</v>
      </c>
      <c r="G333" s="15">
        <v>200</v>
      </c>
      <c r="H333" s="7" t="s">
        <v>714</v>
      </c>
      <c r="I333" s="7" t="s">
        <v>715</v>
      </c>
      <c r="J333" s="7" t="s">
        <v>716</v>
      </c>
      <c r="K333" s="7"/>
    </row>
    <row r="334" spans="1:11" ht="20.100000000000001" customHeight="1" x14ac:dyDescent="0.25">
      <c r="A334" s="13" t="s">
        <v>160</v>
      </c>
      <c r="B334" s="14">
        <v>13814657</v>
      </c>
      <c r="C334" s="20">
        <v>400013532725</v>
      </c>
      <c r="D334" s="6" t="s">
        <v>713</v>
      </c>
      <c r="E334" s="19">
        <v>2</v>
      </c>
      <c r="F334" s="15">
        <v>40</v>
      </c>
      <c r="G334" s="15">
        <v>80</v>
      </c>
      <c r="H334" s="7" t="s">
        <v>714</v>
      </c>
      <c r="I334" s="7" t="s">
        <v>715</v>
      </c>
      <c r="J334" s="7" t="s">
        <v>716</v>
      </c>
      <c r="K334" s="7"/>
    </row>
    <row r="335" spans="1:11" ht="20.100000000000001" customHeight="1" x14ac:dyDescent="0.25">
      <c r="A335" s="13" t="s">
        <v>160</v>
      </c>
      <c r="B335" s="14">
        <v>13814657</v>
      </c>
      <c r="C335" s="20">
        <v>91116737416</v>
      </c>
      <c r="D335" s="6" t="s">
        <v>439</v>
      </c>
      <c r="E335" s="19">
        <v>1</v>
      </c>
      <c r="F335" s="15">
        <v>8.99</v>
      </c>
      <c r="G335" s="15">
        <v>8.99</v>
      </c>
      <c r="H335" s="7" t="s">
        <v>440</v>
      </c>
      <c r="I335" s="7" t="s">
        <v>666</v>
      </c>
      <c r="J335" s="7" t="s">
        <v>929</v>
      </c>
      <c r="K335" s="7"/>
    </row>
    <row r="336" spans="1:11" ht="20.100000000000001" customHeight="1" x14ac:dyDescent="0.25">
      <c r="A336" s="13" t="s">
        <v>160</v>
      </c>
      <c r="B336" s="14">
        <v>13814657</v>
      </c>
      <c r="C336" s="20">
        <v>733004478963</v>
      </c>
      <c r="D336" s="6" t="s">
        <v>441</v>
      </c>
      <c r="E336" s="19">
        <v>1</v>
      </c>
      <c r="F336" s="15">
        <v>14.99</v>
      </c>
      <c r="G336" s="15">
        <v>14.99</v>
      </c>
      <c r="H336" s="7" t="s">
        <v>677</v>
      </c>
      <c r="I336" s="7" t="s">
        <v>904</v>
      </c>
      <c r="J336" s="7" t="s">
        <v>871</v>
      </c>
      <c r="K336" s="7"/>
    </row>
    <row r="337" spans="1:11" ht="20.100000000000001" customHeight="1" x14ac:dyDescent="0.25">
      <c r="A337" s="13" t="s">
        <v>160</v>
      </c>
      <c r="B337" s="14">
        <v>13814657</v>
      </c>
      <c r="C337" s="20">
        <v>783048163189</v>
      </c>
      <c r="D337" s="6" t="s">
        <v>442</v>
      </c>
      <c r="E337" s="19">
        <v>2</v>
      </c>
      <c r="F337" s="15">
        <v>60</v>
      </c>
      <c r="G337" s="15">
        <v>120</v>
      </c>
      <c r="H337" s="7" t="s">
        <v>668</v>
      </c>
      <c r="I337" s="7" t="s">
        <v>723</v>
      </c>
      <c r="J337" s="7" t="s">
        <v>794</v>
      </c>
      <c r="K337" s="7"/>
    </row>
    <row r="338" spans="1:11" ht="20.100000000000001" customHeight="1" x14ac:dyDescent="0.25">
      <c r="A338" s="13" t="s">
        <v>160</v>
      </c>
      <c r="B338" s="14">
        <v>13814657</v>
      </c>
      <c r="C338" s="20">
        <v>810012746076</v>
      </c>
      <c r="D338" s="6" t="s">
        <v>443</v>
      </c>
      <c r="E338" s="19">
        <v>1</v>
      </c>
      <c r="F338" s="15">
        <v>39.99</v>
      </c>
      <c r="G338" s="15">
        <v>39.99</v>
      </c>
      <c r="H338" s="7"/>
      <c r="I338" s="7" t="s">
        <v>674</v>
      </c>
      <c r="J338" s="7" t="s">
        <v>888</v>
      </c>
      <c r="K338" s="7"/>
    </row>
    <row r="339" spans="1:11" ht="20.100000000000001" customHeight="1" x14ac:dyDescent="0.25">
      <c r="A339" s="13" t="s">
        <v>160</v>
      </c>
      <c r="B339" s="14">
        <v>13814657</v>
      </c>
      <c r="C339" s="20">
        <v>841278163239</v>
      </c>
      <c r="D339" s="6" t="s">
        <v>938</v>
      </c>
      <c r="E339" s="19">
        <v>1</v>
      </c>
      <c r="F339" s="15">
        <v>19.989999999999998</v>
      </c>
      <c r="G339" s="15">
        <v>19.989999999999998</v>
      </c>
      <c r="H339" s="7" t="s">
        <v>717</v>
      </c>
      <c r="I339" s="7" t="s">
        <v>674</v>
      </c>
      <c r="J339" s="7" t="s">
        <v>939</v>
      </c>
      <c r="K339" s="7"/>
    </row>
    <row r="340" spans="1:11" ht="20.100000000000001" customHeight="1" x14ac:dyDescent="0.25">
      <c r="A340" s="13" t="s">
        <v>160</v>
      </c>
      <c r="B340" s="14">
        <v>13814657</v>
      </c>
      <c r="C340" s="20">
        <v>733003540913</v>
      </c>
      <c r="D340" s="6" t="s">
        <v>444</v>
      </c>
      <c r="E340" s="19">
        <v>1</v>
      </c>
      <c r="F340" s="15">
        <v>69.989999999999995</v>
      </c>
      <c r="G340" s="15">
        <v>69.989999999999995</v>
      </c>
      <c r="H340" s="7" t="s">
        <v>676</v>
      </c>
      <c r="I340" s="7" t="s">
        <v>741</v>
      </c>
      <c r="J340" s="7" t="s">
        <v>445</v>
      </c>
      <c r="K340" s="7"/>
    </row>
    <row r="341" spans="1:11" ht="20.100000000000001" customHeight="1" x14ac:dyDescent="0.25">
      <c r="A341" s="13" t="s">
        <v>160</v>
      </c>
      <c r="B341" s="14">
        <v>13814657</v>
      </c>
      <c r="C341" s="20">
        <v>190945135292</v>
      </c>
      <c r="D341" s="6" t="s">
        <v>446</v>
      </c>
      <c r="E341" s="19">
        <v>1</v>
      </c>
      <c r="F341" s="15">
        <v>129.99</v>
      </c>
      <c r="G341" s="15">
        <v>129.99</v>
      </c>
      <c r="H341" s="7"/>
      <c r="I341" s="7" t="s">
        <v>674</v>
      </c>
      <c r="J341" s="7" t="s">
        <v>750</v>
      </c>
      <c r="K341" s="7"/>
    </row>
    <row r="342" spans="1:11" ht="20.100000000000001" customHeight="1" x14ac:dyDescent="0.25">
      <c r="A342" s="13" t="s">
        <v>160</v>
      </c>
      <c r="B342" s="14">
        <v>13814657</v>
      </c>
      <c r="C342" s="20">
        <v>91116737317</v>
      </c>
      <c r="D342" s="6" t="s">
        <v>447</v>
      </c>
      <c r="E342" s="19">
        <v>1</v>
      </c>
      <c r="F342" s="15">
        <v>29.99</v>
      </c>
      <c r="G342" s="15">
        <v>29.99</v>
      </c>
      <c r="H342" s="7" t="s">
        <v>751</v>
      </c>
      <c r="I342" s="7" t="s">
        <v>666</v>
      </c>
      <c r="J342" s="7" t="s">
        <v>929</v>
      </c>
      <c r="K342" s="7"/>
    </row>
    <row r="343" spans="1:11" ht="20.100000000000001" customHeight="1" x14ac:dyDescent="0.25">
      <c r="A343" s="13" t="s">
        <v>160</v>
      </c>
      <c r="B343" s="14">
        <v>13814657</v>
      </c>
      <c r="C343" s="20">
        <v>91116737317</v>
      </c>
      <c r="D343" s="6" t="s">
        <v>447</v>
      </c>
      <c r="E343" s="19">
        <v>1</v>
      </c>
      <c r="F343" s="15">
        <v>29.99</v>
      </c>
      <c r="G343" s="15">
        <v>29.99</v>
      </c>
      <c r="H343" s="7" t="s">
        <v>751</v>
      </c>
      <c r="I343" s="7" t="s">
        <v>666</v>
      </c>
      <c r="J343" s="7" t="s">
        <v>929</v>
      </c>
      <c r="K343" s="7"/>
    </row>
    <row r="344" spans="1:11" ht="20.100000000000001" customHeight="1" x14ac:dyDescent="0.25">
      <c r="A344" s="13" t="s">
        <v>160</v>
      </c>
      <c r="B344" s="14">
        <v>13814657</v>
      </c>
      <c r="C344" s="20">
        <v>848405060799</v>
      </c>
      <c r="D344" s="6" t="s">
        <v>448</v>
      </c>
      <c r="E344" s="19">
        <v>1</v>
      </c>
      <c r="F344" s="15">
        <v>20.99</v>
      </c>
      <c r="G344" s="15">
        <v>20.99</v>
      </c>
      <c r="H344" s="7" t="s">
        <v>671</v>
      </c>
      <c r="I344" s="7" t="s">
        <v>752</v>
      </c>
      <c r="J344" s="7" t="s">
        <v>778</v>
      </c>
      <c r="K344" s="7"/>
    </row>
    <row r="345" spans="1:11" ht="20.100000000000001" customHeight="1" x14ac:dyDescent="0.25">
      <c r="A345" s="13" t="s">
        <v>160</v>
      </c>
      <c r="B345" s="14">
        <v>13814657</v>
      </c>
      <c r="C345" s="20">
        <v>191790054141</v>
      </c>
      <c r="D345" s="6" t="s">
        <v>449</v>
      </c>
      <c r="E345" s="19">
        <v>1</v>
      </c>
      <c r="F345" s="15">
        <v>49.99</v>
      </c>
      <c r="G345" s="15">
        <v>49.99</v>
      </c>
      <c r="H345" s="7" t="s">
        <v>773</v>
      </c>
      <c r="I345" s="7" t="s">
        <v>666</v>
      </c>
      <c r="J345" s="7" t="s">
        <v>706</v>
      </c>
      <c r="K345" s="7"/>
    </row>
    <row r="346" spans="1:11" ht="20.100000000000001" customHeight="1" x14ac:dyDescent="0.25">
      <c r="A346" s="13" t="s">
        <v>160</v>
      </c>
      <c r="B346" s="14">
        <v>13814657</v>
      </c>
      <c r="C346" s="20">
        <v>733003878849</v>
      </c>
      <c r="D346" s="6" t="s">
        <v>450</v>
      </c>
      <c r="E346" s="19">
        <v>1</v>
      </c>
      <c r="F346" s="15">
        <v>99.99</v>
      </c>
      <c r="G346" s="15">
        <v>99.99</v>
      </c>
      <c r="H346" s="7" t="s">
        <v>676</v>
      </c>
      <c r="I346" s="7" t="s">
        <v>1236</v>
      </c>
      <c r="J346" s="7" t="s">
        <v>147</v>
      </c>
      <c r="K346" s="7"/>
    </row>
    <row r="347" spans="1:11" ht="20.100000000000001" customHeight="1" x14ac:dyDescent="0.25">
      <c r="A347" s="13" t="s">
        <v>160</v>
      </c>
      <c r="B347" s="14">
        <v>13814657</v>
      </c>
      <c r="C347" s="20">
        <v>733003540784</v>
      </c>
      <c r="D347" s="6" t="s">
        <v>451</v>
      </c>
      <c r="E347" s="19">
        <v>1</v>
      </c>
      <c r="F347" s="15">
        <v>49.99</v>
      </c>
      <c r="G347" s="15">
        <v>49.99</v>
      </c>
      <c r="H347" s="7" t="s">
        <v>668</v>
      </c>
      <c r="I347" s="7" t="s">
        <v>741</v>
      </c>
      <c r="J347" s="7" t="s">
        <v>445</v>
      </c>
      <c r="K347" s="7"/>
    </row>
    <row r="348" spans="1:11" ht="20.100000000000001" customHeight="1" x14ac:dyDescent="0.25">
      <c r="A348" s="13" t="s">
        <v>160</v>
      </c>
      <c r="B348" s="14">
        <v>13814657</v>
      </c>
      <c r="C348" s="20">
        <v>810006717785</v>
      </c>
      <c r="D348" s="6" t="s">
        <v>452</v>
      </c>
      <c r="E348" s="19">
        <v>2</v>
      </c>
      <c r="F348" s="15">
        <v>44.99</v>
      </c>
      <c r="G348" s="15">
        <v>89.98</v>
      </c>
      <c r="H348" s="7" t="s">
        <v>668</v>
      </c>
      <c r="I348" s="7" t="s">
        <v>682</v>
      </c>
      <c r="J348" s="7" t="s">
        <v>374</v>
      </c>
      <c r="K348" s="7"/>
    </row>
    <row r="349" spans="1:11" ht="20.100000000000001" customHeight="1" x14ac:dyDescent="0.25">
      <c r="A349" s="13" t="s">
        <v>160</v>
      </c>
      <c r="B349" s="14">
        <v>13814657</v>
      </c>
      <c r="C349" s="20">
        <v>883893731127</v>
      </c>
      <c r="D349" s="6" t="s">
        <v>453</v>
      </c>
      <c r="E349" s="19">
        <v>1</v>
      </c>
      <c r="F349" s="15">
        <v>99.99</v>
      </c>
      <c r="G349" s="15">
        <v>99.99</v>
      </c>
      <c r="H349" s="7" t="s">
        <v>671</v>
      </c>
      <c r="I349" s="7" t="s">
        <v>674</v>
      </c>
      <c r="J349" s="7" t="s">
        <v>748</v>
      </c>
      <c r="K349" s="7"/>
    </row>
    <row r="350" spans="1:11" ht="20.100000000000001" customHeight="1" x14ac:dyDescent="0.25">
      <c r="A350" s="13" t="s">
        <v>160</v>
      </c>
      <c r="B350" s="14">
        <v>13814657</v>
      </c>
      <c r="C350" s="20">
        <v>885308748713</v>
      </c>
      <c r="D350" s="6" t="s">
        <v>454</v>
      </c>
      <c r="E350" s="19">
        <v>1</v>
      </c>
      <c r="F350" s="15">
        <v>32.99</v>
      </c>
      <c r="G350" s="15">
        <v>32.99</v>
      </c>
      <c r="H350" s="7" t="s">
        <v>759</v>
      </c>
      <c r="I350" s="7" t="s">
        <v>674</v>
      </c>
      <c r="J350" s="7" t="s">
        <v>848</v>
      </c>
      <c r="K350" s="7"/>
    </row>
    <row r="351" spans="1:11" ht="20.100000000000001" customHeight="1" x14ac:dyDescent="0.25">
      <c r="A351" s="13" t="s">
        <v>160</v>
      </c>
      <c r="B351" s="14">
        <v>13814657</v>
      </c>
      <c r="C351" s="20">
        <v>733003978006</v>
      </c>
      <c r="D351" s="6" t="s">
        <v>455</v>
      </c>
      <c r="E351" s="19">
        <v>1</v>
      </c>
      <c r="F351" s="15">
        <v>79.989999999999995</v>
      </c>
      <c r="G351" s="15">
        <v>79.989999999999995</v>
      </c>
      <c r="H351" s="7" t="s">
        <v>768</v>
      </c>
      <c r="I351" s="7" t="s">
        <v>680</v>
      </c>
      <c r="J351" s="7" t="s">
        <v>811</v>
      </c>
      <c r="K351" s="7"/>
    </row>
    <row r="352" spans="1:11" ht="20.100000000000001" customHeight="1" x14ac:dyDescent="0.25">
      <c r="A352" s="13" t="s">
        <v>160</v>
      </c>
      <c r="B352" s="14">
        <v>13814657</v>
      </c>
      <c r="C352" s="20">
        <v>733003915018</v>
      </c>
      <c r="D352" s="6" t="s">
        <v>456</v>
      </c>
      <c r="E352" s="19">
        <v>1</v>
      </c>
      <c r="F352" s="15">
        <v>39.99</v>
      </c>
      <c r="G352" s="15">
        <v>39.99</v>
      </c>
      <c r="H352" s="7" t="s">
        <v>919</v>
      </c>
      <c r="I352" s="7" t="s">
        <v>692</v>
      </c>
      <c r="J352" s="7" t="s">
        <v>844</v>
      </c>
      <c r="K352" s="7"/>
    </row>
    <row r="353" spans="1:11" ht="20.100000000000001" customHeight="1" x14ac:dyDescent="0.25">
      <c r="A353" s="13" t="s">
        <v>160</v>
      </c>
      <c r="B353" s="14">
        <v>13814657</v>
      </c>
      <c r="C353" s="20">
        <v>844353152043</v>
      </c>
      <c r="D353" s="6" t="s">
        <v>457</v>
      </c>
      <c r="E353" s="19">
        <v>1</v>
      </c>
      <c r="F353" s="15">
        <v>163.99</v>
      </c>
      <c r="G353" s="15">
        <v>163.99</v>
      </c>
      <c r="H353" s="7" t="s">
        <v>665</v>
      </c>
      <c r="I353" s="7" t="s">
        <v>674</v>
      </c>
      <c r="J353" s="7" t="s">
        <v>788</v>
      </c>
      <c r="K353" s="7"/>
    </row>
    <row r="354" spans="1:11" ht="20.100000000000001" customHeight="1" x14ac:dyDescent="0.25">
      <c r="A354" s="13" t="s">
        <v>160</v>
      </c>
      <c r="B354" s="14">
        <v>13814657</v>
      </c>
      <c r="C354" s="20">
        <v>733003461317</v>
      </c>
      <c r="D354" s="6" t="s">
        <v>458</v>
      </c>
      <c r="E354" s="19">
        <v>2</v>
      </c>
      <c r="F354" s="15">
        <v>69.989999999999995</v>
      </c>
      <c r="G354" s="15">
        <v>139.97999999999999</v>
      </c>
      <c r="H354" s="7" t="s">
        <v>768</v>
      </c>
      <c r="I354" s="7" t="s">
        <v>680</v>
      </c>
      <c r="J354" s="7" t="s">
        <v>817</v>
      </c>
      <c r="K354" s="7"/>
    </row>
    <row r="355" spans="1:11" ht="20.100000000000001" customHeight="1" x14ac:dyDescent="0.25">
      <c r="A355" s="13" t="s">
        <v>160</v>
      </c>
      <c r="B355" s="14">
        <v>13814657</v>
      </c>
      <c r="C355" s="20">
        <v>91116737218</v>
      </c>
      <c r="D355" s="6" t="s">
        <v>459</v>
      </c>
      <c r="E355" s="19">
        <v>1</v>
      </c>
      <c r="F355" s="15">
        <v>19.989999999999998</v>
      </c>
      <c r="G355" s="15">
        <v>19.989999999999998</v>
      </c>
      <c r="H355" s="7" t="s">
        <v>732</v>
      </c>
      <c r="I355" s="7" t="s">
        <v>666</v>
      </c>
      <c r="J355" s="7" t="s">
        <v>929</v>
      </c>
      <c r="K355" s="7"/>
    </row>
    <row r="356" spans="1:11" ht="20.100000000000001" customHeight="1" x14ac:dyDescent="0.25">
      <c r="A356" s="13" t="s">
        <v>160</v>
      </c>
      <c r="B356" s="14">
        <v>13814657</v>
      </c>
      <c r="C356" s="20">
        <v>86569085610</v>
      </c>
      <c r="D356" s="6" t="s">
        <v>460</v>
      </c>
      <c r="E356" s="19">
        <v>1</v>
      </c>
      <c r="F356" s="15">
        <v>199.99</v>
      </c>
      <c r="G356" s="15">
        <v>199.99</v>
      </c>
      <c r="H356" s="7" t="s">
        <v>742</v>
      </c>
      <c r="I356" s="7" t="s">
        <v>736</v>
      </c>
      <c r="J356" s="7" t="s">
        <v>679</v>
      </c>
      <c r="K356" s="7"/>
    </row>
    <row r="357" spans="1:11" ht="20.100000000000001" customHeight="1" x14ac:dyDescent="0.25">
      <c r="A357" s="13" t="s">
        <v>160</v>
      </c>
      <c r="B357" s="14">
        <v>13814657</v>
      </c>
      <c r="C357" s="20">
        <v>96675300484</v>
      </c>
      <c r="D357" s="6" t="s">
        <v>461</v>
      </c>
      <c r="E357" s="19">
        <v>1</v>
      </c>
      <c r="F357" s="15">
        <v>39.99</v>
      </c>
      <c r="G357" s="15">
        <v>39.99</v>
      </c>
      <c r="H357" s="7" t="s">
        <v>668</v>
      </c>
      <c r="I357" s="7" t="s">
        <v>669</v>
      </c>
      <c r="J357" s="7" t="s">
        <v>787</v>
      </c>
      <c r="K357" s="7"/>
    </row>
    <row r="358" spans="1:11" ht="20.100000000000001" customHeight="1" x14ac:dyDescent="0.25">
      <c r="A358" s="13" t="s">
        <v>160</v>
      </c>
      <c r="B358" s="14">
        <v>13814657</v>
      </c>
      <c r="C358" s="20">
        <v>190052079632</v>
      </c>
      <c r="D358" s="6" t="s">
        <v>462</v>
      </c>
      <c r="E358" s="19">
        <v>1</v>
      </c>
      <c r="F358" s="15">
        <v>53.99</v>
      </c>
      <c r="G358" s="15">
        <v>53.99</v>
      </c>
      <c r="H358" s="7" t="s">
        <v>784</v>
      </c>
      <c r="I358" s="7" t="s">
        <v>752</v>
      </c>
      <c r="J358" s="7" t="s">
        <v>463</v>
      </c>
      <c r="K358" s="7"/>
    </row>
    <row r="359" spans="1:11" ht="20.100000000000001" customHeight="1" x14ac:dyDescent="0.25">
      <c r="A359" s="13" t="s">
        <v>160</v>
      </c>
      <c r="B359" s="14">
        <v>13814657</v>
      </c>
      <c r="C359" s="20">
        <v>733003914929</v>
      </c>
      <c r="D359" s="6" t="s">
        <v>464</v>
      </c>
      <c r="E359" s="19">
        <v>2</v>
      </c>
      <c r="F359" s="15">
        <v>129.99</v>
      </c>
      <c r="G359" s="15">
        <v>259.98</v>
      </c>
      <c r="H359" s="7" t="s">
        <v>919</v>
      </c>
      <c r="I359" s="7" t="s">
        <v>692</v>
      </c>
      <c r="J359" s="7" t="s">
        <v>844</v>
      </c>
      <c r="K359" s="7"/>
    </row>
    <row r="360" spans="1:11" ht="20.100000000000001" customHeight="1" x14ac:dyDescent="0.25">
      <c r="A360" s="13" t="s">
        <v>160</v>
      </c>
      <c r="B360" s="14">
        <v>13814657</v>
      </c>
      <c r="C360" s="20">
        <v>840970162809</v>
      </c>
      <c r="D360" s="6" t="s">
        <v>465</v>
      </c>
      <c r="E360" s="19">
        <v>1</v>
      </c>
      <c r="F360" s="15">
        <v>29.99</v>
      </c>
      <c r="G360" s="15">
        <v>29.99</v>
      </c>
      <c r="H360" s="7" t="s">
        <v>671</v>
      </c>
      <c r="I360" s="7" t="s">
        <v>674</v>
      </c>
      <c r="J360" s="7" t="s">
        <v>726</v>
      </c>
      <c r="K360" s="7"/>
    </row>
    <row r="361" spans="1:11" ht="20.100000000000001" customHeight="1" x14ac:dyDescent="0.25">
      <c r="A361" s="13" t="s">
        <v>160</v>
      </c>
      <c r="B361" s="14">
        <v>13814657</v>
      </c>
      <c r="C361" s="20">
        <v>73558822943</v>
      </c>
      <c r="D361" s="6" t="s">
        <v>466</v>
      </c>
      <c r="E361" s="19">
        <v>1</v>
      </c>
      <c r="F361" s="15">
        <v>109.99</v>
      </c>
      <c r="G361" s="15">
        <v>109.99</v>
      </c>
      <c r="H361" s="7"/>
      <c r="I361" s="7" t="s">
        <v>1294</v>
      </c>
      <c r="J361" s="7" t="s">
        <v>467</v>
      </c>
      <c r="K361" s="7"/>
    </row>
    <row r="362" spans="1:11" ht="20.100000000000001" customHeight="1" x14ac:dyDescent="0.25">
      <c r="A362" s="13" t="s">
        <v>160</v>
      </c>
      <c r="B362" s="14">
        <v>13814657</v>
      </c>
      <c r="C362" s="20">
        <v>815584022641</v>
      </c>
      <c r="D362" s="6" t="s">
        <v>468</v>
      </c>
      <c r="E362" s="19">
        <v>1</v>
      </c>
      <c r="F362" s="15">
        <v>22.99</v>
      </c>
      <c r="G362" s="15">
        <v>22.99</v>
      </c>
      <c r="H362" s="7" t="s">
        <v>714</v>
      </c>
      <c r="I362" s="7" t="s">
        <v>669</v>
      </c>
      <c r="J362" s="7" t="s">
        <v>935</v>
      </c>
      <c r="K362" s="7"/>
    </row>
    <row r="363" spans="1:11" ht="20.100000000000001" customHeight="1" x14ac:dyDescent="0.25">
      <c r="A363" s="13" t="s">
        <v>160</v>
      </c>
      <c r="B363" s="14">
        <v>13814657</v>
      </c>
      <c r="C363" s="20">
        <v>733002638895</v>
      </c>
      <c r="D363" s="6" t="s">
        <v>469</v>
      </c>
      <c r="E363" s="19">
        <v>1</v>
      </c>
      <c r="F363" s="15">
        <v>19.989999999999998</v>
      </c>
      <c r="G363" s="15">
        <v>19.989999999999998</v>
      </c>
      <c r="H363" s="7" t="s">
        <v>668</v>
      </c>
      <c r="I363" s="7" t="s">
        <v>777</v>
      </c>
      <c r="J363" s="7" t="s">
        <v>800</v>
      </c>
      <c r="K363" s="7"/>
    </row>
    <row r="364" spans="1:11" ht="20.100000000000001" customHeight="1" x14ac:dyDescent="0.25">
      <c r="A364" s="13" t="s">
        <v>160</v>
      </c>
      <c r="B364" s="14">
        <v>13814657</v>
      </c>
      <c r="C364" s="20">
        <v>733002875368</v>
      </c>
      <c r="D364" s="6" t="s">
        <v>470</v>
      </c>
      <c r="E364" s="19">
        <v>1</v>
      </c>
      <c r="F364" s="15">
        <v>229.99</v>
      </c>
      <c r="G364" s="15">
        <v>229.99</v>
      </c>
      <c r="H364" s="7" t="s">
        <v>668</v>
      </c>
      <c r="I364" s="7" t="s">
        <v>680</v>
      </c>
      <c r="J364" s="7" t="s">
        <v>817</v>
      </c>
      <c r="K364" s="7"/>
    </row>
    <row r="365" spans="1:11" ht="20.100000000000001" customHeight="1" x14ac:dyDescent="0.25">
      <c r="A365" s="13" t="s">
        <v>160</v>
      </c>
      <c r="B365" s="14">
        <v>13814657</v>
      </c>
      <c r="C365" s="20">
        <v>810012745925</v>
      </c>
      <c r="D365" s="6" t="s">
        <v>471</v>
      </c>
      <c r="E365" s="19">
        <v>2</v>
      </c>
      <c r="F365" s="15">
        <v>29.99</v>
      </c>
      <c r="G365" s="15">
        <v>59.98</v>
      </c>
      <c r="H365" s="7" t="s">
        <v>668</v>
      </c>
      <c r="I365" s="7" t="s">
        <v>674</v>
      </c>
      <c r="J365" s="7" t="s">
        <v>888</v>
      </c>
      <c r="K365" s="7"/>
    </row>
    <row r="366" spans="1:11" ht="20.100000000000001" customHeight="1" x14ac:dyDescent="0.25">
      <c r="A366" s="13" t="s">
        <v>160</v>
      </c>
      <c r="B366" s="14">
        <v>13814657</v>
      </c>
      <c r="C366" s="20">
        <v>733002801084</v>
      </c>
      <c r="D366" s="6" t="s">
        <v>472</v>
      </c>
      <c r="E366" s="19">
        <v>4</v>
      </c>
      <c r="F366" s="15">
        <v>39.99</v>
      </c>
      <c r="G366" s="15">
        <v>159.96</v>
      </c>
      <c r="H366" s="7" t="s">
        <v>676</v>
      </c>
      <c r="I366" s="7" t="s">
        <v>797</v>
      </c>
      <c r="J366" s="7" t="s">
        <v>825</v>
      </c>
      <c r="K366" s="7"/>
    </row>
    <row r="367" spans="1:11" ht="20.100000000000001" customHeight="1" x14ac:dyDescent="0.25">
      <c r="A367" s="13" t="s">
        <v>160</v>
      </c>
      <c r="B367" s="14">
        <v>13814657</v>
      </c>
      <c r="C367" s="20">
        <v>10482374957</v>
      </c>
      <c r="D367" s="6" t="s">
        <v>473</v>
      </c>
      <c r="E367" s="19">
        <v>1</v>
      </c>
      <c r="F367" s="15">
        <v>39.99</v>
      </c>
      <c r="G367" s="15">
        <v>39.99</v>
      </c>
      <c r="H367" s="7" t="s">
        <v>668</v>
      </c>
      <c r="I367" s="7" t="s">
        <v>674</v>
      </c>
      <c r="J367" s="7" t="s">
        <v>474</v>
      </c>
      <c r="K367" s="7"/>
    </row>
    <row r="368" spans="1:11" ht="20.100000000000001" customHeight="1" x14ac:dyDescent="0.25">
      <c r="A368" s="13" t="s">
        <v>160</v>
      </c>
      <c r="B368" s="14">
        <v>13814657</v>
      </c>
      <c r="C368" s="20">
        <v>733003023553</v>
      </c>
      <c r="D368" s="6" t="s">
        <v>475</v>
      </c>
      <c r="E368" s="19">
        <v>1</v>
      </c>
      <c r="F368" s="15">
        <v>299.99</v>
      </c>
      <c r="G368" s="15">
        <v>299.99</v>
      </c>
      <c r="H368" s="7" t="s">
        <v>704</v>
      </c>
      <c r="I368" s="7" t="s">
        <v>680</v>
      </c>
      <c r="J368" s="7" t="s">
        <v>733</v>
      </c>
      <c r="K368" s="7"/>
    </row>
    <row r="369" spans="1:11" ht="20.100000000000001" customHeight="1" x14ac:dyDescent="0.25">
      <c r="A369" s="13" t="s">
        <v>160</v>
      </c>
      <c r="B369" s="14">
        <v>13814657</v>
      </c>
      <c r="C369" s="20">
        <v>83013006337</v>
      </c>
      <c r="D369" s="6" t="s">
        <v>476</v>
      </c>
      <c r="E369" s="19">
        <v>1</v>
      </c>
      <c r="F369" s="15">
        <v>59.99</v>
      </c>
      <c r="G369" s="15">
        <v>59.99</v>
      </c>
      <c r="H369" s="7" t="s">
        <v>775</v>
      </c>
      <c r="I369" s="7" t="s">
        <v>689</v>
      </c>
      <c r="J369" s="7" t="s">
        <v>769</v>
      </c>
      <c r="K369" s="7"/>
    </row>
    <row r="370" spans="1:11" ht="20.100000000000001" customHeight="1" x14ac:dyDescent="0.25">
      <c r="A370" s="13" t="s">
        <v>160</v>
      </c>
      <c r="B370" s="14">
        <v>13814657</v>
      </c>
      <c r="C370" s="20">
        <v>810076485362</v>
      </c>
      <c r="D370" s="6" t="s">
        <v>477</v>
      </c>
      <c r="E370" s="19">
        <v>1</v>
      </c>
      <c r="F370" s="15">
        <v>20.99</v>
      </c>
      <c r="G370" s="15">
        <v>20.99</v>
      </c>
      <c r="H370" s="7" t="s">
        <v>704</v>
      </c>
      <c r="I370" s="7" t="s">
        <v>752</v>
      </c>
      <c r="J370" s="7" t="s">
        <v>148</v>
      </c>
      <c r="K370" s="7"/>
    </row>
    <row r="371" spans="1:11" ht="20.100000000000001" customHeight="1" x14ac:dyDescent="0.25">
      <c r="A371" s="13" t="s">
        <v>160</v>
      </c>
      <c r="B371" s="14">
        <v>13814657</v>
      </c>
      <c r="C371" s="20">
        <v>810076485362</v>
      </c>
      <c r="D371" s="6" t="s">
        <v>477</v>
      </c>
      <c r="E371" s="19">
        <v>1</v>
      </c>
      <c r="F371" s="15">
        <v>20.99</v>
      </c>
      <c r="G371" s="15">
        <v>20.99</v>
      </c>
      <c r="H371" s="7" t="s">
        <v>704</v>
      </c>
      <c r="I371" s="7" t="s">
        <v>752</v>
      </c>
      <c r="J371" s="7" t="s">
        <v>148</v>
      </c>
      <c r="K371" s="7"/>
    </row>
    <row r="372" spans="1:11" ht="20.100000000000001" customHeight="1" x14ac:dyDescent="0.25">
      <c r="A372" s="13" t="s">
        <v>160</v>
      </c>
      <c r="B372" s="14">
        <v>13814657</v>
      </c>
      <c r="C372" s="20">
        <v>751516686270</v>
      </c>
      <c r="D372" s="6" t="s">
        <v>478</v>
      </c>
      <c r="E372" s="19">
        <v>1</v>
      </c>
      <c r="F372" s="15">
        <v>19.989999999999998</v>
      </c>
      <c r="G372" s="15">
        <v>19.989999999999998</v>
      </c>
      <c r="H372" s="7" t="s">
        <v>671</v>
      </c>
      <c r="I372" s="7" t="s">
        <v>674</v>
      </c>
      <c r="J372" s="7" t="s">
        <v>820</v>
      </c>
      <c r="K372" s="7"/>
    </row>
    <row r="373" spans="1:11" ht="20.100000000000001" customHeight="1" x14ac:dyDescent="0.25">
      <c r="A373" s="13" t="s">
        <v>160</v>
      </c>
      <c r="B373" s="14">
        <v>13814657</v>
      </c>
      <c r="C373" s="20">
        <v>883893699939</v>
      </c>
      <c r="D373" s="6" t="s">
        <v>479</v>
      </c>
      <c r="E373" s="19">
        <v>1</v>
      </c>
      <c r="F373" s="15">
        <v>34.99</v>
      </c>
      <c r="G373" s="15">
        <v>34.99</v>
      </c>
      <c r="H373" s="7" t="s">
        <v>691</v>
      </c>
      <c r="I373" s="7" t="s">
        <v>682</v>
      </c>
      <c r="J373" s="7" t="s">
        <v>154</v>
      </c>
      <c r="K373" s="7"/>
    </row>
    <row r="374" spans="1:11" ht="20.100000000000001" customHeight="1" x14ac:dyDescent="0.25">
      <c r="A374" s="13" t="s">
        <v>160</v>
      </c>
      <c r="B374" s="14">
        <v>13814657</v>
      </c>
      <c r="C374" s="20">
        <v>29927586695</v>
      </c>
      <c r="D374" s="6" t="s">
        <v>480</v>
      </c>
      <c r="E374" s="19">
        <v>1</v>
      </c>
      <c r="F374" s="15">
        <v>19.989999999999998</v>
      </c>
      <c r="G374" s="15">
        <v>19.989999999999998</v>
      </c>
      <c r="H374" s="7" t="s">
        <v>735</v>
      </c>
      <c r="I374" s="7" t="s">
        <v>674</v>
      </c>
      <c r="J374" s="7" t="s">
        <v>702</v>
      </c>
      <c r="K374" s="7"/>
    </row>
    <row r="375" spans="1:11" ht="20.100000000000001" customHeight="1" x14ac:dyDescent="0.25">
      <c r="A375" s="13" t="s">
        <v>160</v>
      </c>
      <c r="B375" s="14">
        <v>13814657</v>
      </c>
      <c r="C375" s="20">
        <v>29927586695</v>
      </c>
      <c r="D375" s="6" t="s">
        <v>480</v>
      </c>
      <c r="E375" s="19">
        <v>1</v>
      </c>
      <c r="F375" s="15">
        <v>19.989999999999998</v>
      </c>
      <c r="G375" s="15">
        <v>19.989999999999998</v>
      </c>
      <c r="H375" s="7" t="s">
        <v>735</v>
      </c>
      <c r="I375" s="7" t="s">
        <v>674</v>
      </c>
      <c r="J375" s="7" t="s">
        <v>702</v>
      </c>
      <c r="K375" s="7"/>
    </row>
    <row r="376" spans="1:11" ht="20.100000000000001" customHeight="1" x14ac:dyDescent="0.25">
      <c r="A376" s="13" t="s">
        <v>160</v>
      </c>
      <c r="B376" s="14">
        <v>13814657</v>
      </c>
      <c r="C376" s="20">
        <v>883893731363</v>
      </c>
      <c r="D376" s="6" t="s">
        <v>481</v>
      </c>
      <c r="E376" s="19">
        <v>1</v>
      </c>
      <c r="F376" s="15">
        <v>179.99</v>
      </c>
      <c r="G376" s="15">
        <v>179.99</v>
      </c>
      <c r="H376" s="7" t="s">
        <v>721</v>
      </c>
      <c r="I376" s="7" t="s">
        <v>689</v>
      </c>
      <c r="J376" s="7" t="s">
        <v>861</v>
      </c>
      <c r="K376" s="7"/>
    </row>
    <row r="377" spans="1:11" ht="20.100000000000001" customHeight="1" x14ac:dyDescent="0.25">
      <c r="A377" s="13" t="s">
        <v>160</v>
      </c>
      <c r="B377" s="14">
        <v>13814657</v>
      </c>
      <c r="C377" s="20">
        <v>651896651052</v>
      </c>
      <c r="D377" s="6" t="s">
        <v>482</v>
      </c>
      <c r="E377" s="19">
        <v>1</v>
      </c>
      <c r="F377" s="15">
        <v>24.99</v>
      </c>
      <c r="G377" s="15">
        <v>24.99</v>
      </c>
      <c r="H377" s="7" t="s">
        <v>701</v>
      </c>
      <c r="I377" s="7" t="s">
        <v>674</v>
      </c>
      <c r="J377" s="7" t="s">
        <v>927</v>
      </c>
      <c r="K377" s="7"/>
    </row>
    <row r="378" spans="1:11" ht="20.100000000000001" customHeight="1" x14ac:dyDescent="0.25">
      <c r="A378" s="13" t="s">
        <v>160</v>
      </c>
      <c r="B378" s="14">
        <v>13814657</v>
      </c>
      <c r="C378" s="20">
        <v>733003023546</v>
      </c>
      <c r="D378" s="6" t="s">
        <v>483</v>
      </c>
      <c r="E378" s="19">
        <v>1</v>
      </c>
      <c r="F378" s="15">
        <v>249.99</v>
      </c>
      <c r="G378" s="15">
        <v>249.99</v>
      </c>
      <c r="H378" s="7" t="s">
        <v>704</v>
      </c>
      <c r="I378" s="7" t="s">
        <v>680</v>
      </c>
      <c r="J378" s="7" t="s">
        <v>733</v>
      </c>
      <c r="K378" s="7"/>
    </row>
    <row r="379" spans="1:11" ht="20.100000000000001" customHeight="1" x14ac:dyDescent="0.25">
      <c r="A379" s="13" t="s">
        <v>160</v>
      </c>
      <c r="B379" s="14">
        <v>13814657</v>
      </c>
      <c r="C379" s="20">
        <v>733003473587</v>
      </c>
      <c r="D379" s="6" t="s">
        <v>484</v>
      </c>
      <c r="E379" s="19">
        <v>1</v>
      </c>
      <c r="F379" s="15">
        <v>19.989999999999998</v>
      </c>
      <c r="G379" s="15">
        <v>19.989999999999998</v>
      </c>
      <c r="H379" s="7" t="s">
        <v>784</v>
      </c>
      <c r="I379" s="7" t="s">
        <v>904</v>
      </c>
      <c r="J379" s="7" t="s">
        <v>871</v>
      </c>
      <c r="K379" s="7"/>
    </row>
    <row r="380" spans="1:11" ht="20.100000000000001" customHeight="1" x14ac:dyDescent="0.25">
      <c r="A380" s="13" t="s">
        <v>160</v>
      </c>
      <c r="B380" s="14">
        <v>13814657</v>
      </c>
      <c r="C380" s="20">
        <v>81806636136</v>
      </c>
      <c r="D380" s="6" t="s">
        <v>485</v>
      </c>
      <c r="E380" s="19">
        <v>1</v>
      </c>
      <c r="F380" s="15">
        <v>69.989999999999995</v>
      </c>
      <c r="G380" s="15">
        <v>69.989999999999995</v>
      </c>
      <c r="H380" s="7" t="s">
        <v>714</v>
      </c>
      <c r="I380" s="7" t="s">
        <v>672</v>
      </c>
      <c r="J380" s="7" t="s">
        <v>883</v>
      </c>
      <c r="K380" s="7"/>
    </row>
    <row r="381" spans="1:11" ht="20.100000000000001" customHeight="1" x14ac:dyDescent="0.25">
      <c r="A381" s="13" t="s">
        <v>160</v>
      </c>
      <c r="B381" s="14">
        <v>13814657</v>
      </c>
      <c r="C381" s="20">
        <v>735732482168</v>
      </c>
      <c r="D381" s="6" t="s">
        <v>486</v>
      </c>
      <c r="E381" s="19">
        <v>1</v>
      </c>
      <c r="F381" s="15">
        <v>72.989999999999995</v>
      </c>
      <c r="G381" s="15">
        <v>72.989999999999995</v>
      </c>
      <c r="H381" s="7" t="s">
        <v>745</v>
      </c>
      <c r="I381" s="7" t="s">
        <v>672</v>
      </c>
      <c r="J381" s="7" t="s">
        <v>868</v>
      </c>
      <c r="K381" s="7"/>
    </row>
    <row r="382" spans="1:11" ht="20.100000000000001" customHeight="1" x14ac:dyDescent="0.25">
      <c r="A382" s="13" t="s">
        <v>160</v>
      </c>
      <c r="B382" s="14">
        <v>13814657</v>
      </c>
      <c r="C382" s="20">
        <v>733004297991</v>
      </c>
      <c r="D382" s="6" t="s">
        <v>487</v>
      </c>
      <c r="E382" s="19">
        <v>1</v>
      </c>
      <c r="F382" s="15">
        <v>21.99</v>
      </c>
      <c r="G382" s="15">
        <v>21.99</v>
      </c>
      <c r="H382" s="7" t="s">
        <v>707</v>
      </c>
      <c r="I382" s="7" t="s">
        <v>694</v>
      </c>
      <c r="J382" s="7" t="s">
        <v>825</v>
      </c>
      <c r="K382" s="7"/>
    </row>
    <row r="383" spans="1:11" ht="20.100000000000001" customHeight="1" x14ac:dyDescent="0.25">
      <c r="A383" s="13" t="s">
        <v>160</v>
      </c>
      <c r="B383" s="14">
        <v>13814657</v>
      </c>
      <c r="C383" s="20">
        <v>733002875634</v>
      </c>
      <c r="D383" s="6" t="s">
        <v>488</v>
      </c>
      <c r="E383" s="19">
        <v>2</v>
      </c>
      <c r="F383" s="15">
        <v>69.989999999999995</v>
      </c>
      <c r="G383" s="15">
        <v>139.97999999999999</v>
      </c>
      <c r="H383" s="7" t="s">
        <v>671</v>
      </c>
      <c r="I383" s="7" t="s">
        <v>680</v>
      </c>
      <c r="J383" s="7" t="s">
        <v>747</v>
      </c>
      <c r="K383" s="7"/>
    </row>
    <row r="384" spans="1:11" ht="20.100000000000001" customHeight="1" x14ac:dyDescent="0.25">
      <c r="A384" s="13" t="s">
        <v>160</v>
      </c>
      <c r="B384" s="14">
        <v>13814657</v>
      </c>
      <c r="C384" s="20">
        <v>42075608293</v>
      </c>
      <c r="D384" s="6" t="s">
        <v>489</v>
      </c>
      <c r="E384" s="19">
        <v>1</v>
      </c>
      <c r="F384" s="15">
        <v>30</v>
      </c>
      <c r="G384" s="15">
        <v>30</v>
      </c>
      <c r="H384" s="7" t="s">
        <v>676</v>
      </c>
      <c r="I384" s="7" t="s">
        <v>752</v>
      </c>
      <c r="J384" s="7" t="s">
        <v>743</v>
      </c>
      <c r="K384" s="7"/>
    </row>
    <row r="385" spans="1:11" ht="20.100000000000001" customHeight="1" x14ac:dyDescent="0.25">
      <c r="A385" s="13" t="s">
        <v>160</v>
      </c>
      <c r="B385" s="14">
        <v>13814657</v>
      </c>
      <c r="C385" s="20">
        <v>86569657893</v>
      </c>
      <c r="D385" s="6" t="s">
        <v>490</v>
      </c>
      <c r="E385" s="19">
        <v>1</v>
      </c>
      <c r="F385" s="15">
        <v>69.989999999999995</v>
      </c>
      <c r="G385" s="15">
        <v>69.989999999999995</v>
      </c>
      <c r="H385" s="7" t="s">
        <v>735</v>
      </c>
      <c r="I385" s="7" t="s">
        <v>672</v>
      </c>
      <c r="J385" s="7" t="s">
        <v>679</v>
      </c>
      <c r="K385" s="7"/>
    </row>
    <row r="386" spans="1:11" ht="20.100000000000001" customHeight="1" x14ac:dyDescent="0.25">
      <c r="A386" s="13" t="s">
        <v>160</v>
      </c>
      <c r="B386" s="14">
        <v>13814657</v>
      </c>
      <c r="C386" s="20">
        <v>814740024581</v>
      </c>
      <c r="D386" s="6" t="s">
        <v>491</v>
      </c>
      <c r="E386" s="19">
        <v>1</v>
      </c>
      <c r="F386" s="15">
        <v>120.99</v>
      </c>
      <c r="G386" s="15">
        <v>120.99</v>
      </c>
      <c r="H386" s="7" t="s">
        <v>768</v>
      </c>
      <c r="I386" s="7" t="s">
        <v>672</v>
      </c>
      <c r="J386" s="7" t="s">
        <v>767</v>
      </c>
      <c r="K386" s="7"/>
    </row>
    <row r="387" spans="1:11" ht="20.100000000000001" customHeight="1" x14ac:dyDescent="0.25">
      <c r="A387" s="13" t="s">
        <v>160</v>
      </c>
      <c r="B387" s="14">
        <v>13814657</v>
      </c>
      <c r="C387" s="20">
        <v>679610838541</v>
      </c>
      <c r="D387" s="6" t="s">
        <v>492</v>
      </c>
      <c r="E387" s="19">
        <v>1</v>
      </c>
      <c r="F387" s="15">
        <v>59.99</v>
      </c>
      <c r="G387" s="15">
        <v>59.99</v>
      </c>
      <c r="H387" s="7" t="s">
        <v>711</v>
      </c>
      <c r="I387" s="7" t="s">
        <v>672</v>
      </c>
      <c r="J387" s="7" t="s">
        <v>774</v>
      </c>
      <c r="K387" s="7"/>
    </row>
    <row r="388" spans="1:11" ht="20.100000000000001" customHeight="1" x14ac:dyDescent="0.25">
      <c r="A388" s="13" t="s">
        <v>160</v>
      </c>
      <c r="B388" s="14">
        <v>13814657</v>
      </c>
      <c r="C388" s="20">
        <v>733003918651</v>
      </c>
      <c r="D388" s="6" t="s">
        <v>493</v>
      </c>
      <c r="E388" s="19">
        <v>8</v>
      </c>
      <c r="F388" s="15">
        <v>49.99</v>
      </c>
      <c r="G388" s="15">
        <v>399.92</v>
      </c>
      <c r="H388" s="7" t="s">
        <v>807</v>
      </c>
      <c r="I388" s="7" t="s">
        <v>797</v>
      </c>
      <c r="J388" s="7" t="s">
        <v>798</v>
      </c>
      <c r="K388" s="7"/>
    </row>
    <row r="389" spans="1:11" ht="20.100000000000001" customHeight="1" x14ac:dyDescent="0.25">
      <c r="A389" s="13" t="s">
        <v>160</v>
      </c>
      <c r="B389" s="14">
        <v>13814657</v>
      </c>
      <c r="C389" s="20">
        <v>191790054110</v>
      </c>
      <c r="D389" s="6" t="s">
        <v>494</v>
      </c>
      <c r="E389" s="19">
        <v>1</v>
      </c>
      <c r="F389" s="15">
        <v>49.99</v>
      </c>
      <c r="G389" s="15">
        <v>49.99</v>
      </c>
      <c r="H389" s="7" t="s">
        <v>732</v>
      </c>
      <c r="I389" s="7" t="s">
        <v>666</v>
      </c>
      <c r="J389" s="7" t="s">
        <v>706</v>
      </c>
      <c r="K389" s="7"/>
    </row>
    <row r="390" spans="1:11" ht="20.100000000000001" customHeight="1" x14ac:dyDescent="0.25">
      <c r="A390" s="13" t="s">
        <v>160</v>
      </c>
      <c r="B390" s="14">
        <v>13814657</v>
      </c>
      <c r="C390" s="20">
        <v>21864406876</v>
      </c>
      <c r="D390" s="6" t="s">
        <v>495</v>
      </c>
      <c r="E390" s="19">
        <v>1</v>
      </c>
      <c r="F390" s="15">
        <v>26.99</v>
      </c>
      <c r="G390" s="15">
        <v>26.99</v>
      </c>
      <c r="H390" s="7" t="s">
        <v>863</v>
      </c>
      <c r="I390" s="7" t="s">
        <v>682</v>
      </c>
      <c r="J390" s="7" t="s">
        <v>889</v>
      </c>
      <c r="K390" s="7"/>
    </row>
    <row r="391" spans="1:11" ht="20.100000000000001" customHeight="1" x14ac:dyDescent="0.25">
      <c r="A391" s="13" t="s">
        <v>160</v>
      </c>
      <c r="B391" s="14">
        <v>13814657</v>
      </c>
      <c r="C391" s="20">
        <v>32281199548</v>
      </c>
      <c r="D391" s="6" t="s">
        <v>496</v>
      </c>
      <c r="E391" s="19">
        <v>1</v>
      </c>
      <c r="F391" s="15">
        <v>109.99</v>
      </c>
      <c r="G391" s="15">
        <v>109.99</v>
      </c>
      <c r="H391" s="7"/>
      <c r="I391" s="7" t="s">
        <v>1294</v>
      </c>
      <c r="J391" s="7" t="s">
        <v>898</v>
      </c>
      <c r="K391" s="7"/>
    </row>
    <row r="392" spans="1:11" ht="20.100000000000001" customHeight="1" x14ac:dyDescent="0.25">
      <c r="A392" s="13" t="s">
        <v>160</v>
      </c>
      <c r="B392" s="14">
        <v>13814657</v>
      </c>
      <c r="C392" s="20">
        <v>840217776813</v>
      </c>
      <c r="D392" s="6" t="s">
        <v>497</v>
      </c>
      <c r="E392" s="19">
        <v>2</v>
      </c>
      <c r="F392" s="15">
        <v>35.99</v>
      </c>
      <c r="G392" s="15">
        <v>71.98</v>
      </c>
      <c r="H392" s="7" t="s">
        <v>771</v>
      </c>
      <c r="I392" s="7" t="s">
        <v>666</v>
      </c>
      <c r="J392" s="7" t="s">
        <v>829</v>
      </c>
      <c r="K392" s="7"/>
    </row>
    <row r="393" spans="1:11" ht="20.100000000000001" customHeight="1" x14ac:dyDescent="0.25">
      <c r="A393" s="13" t="s">
        <v>160</v>
      </c>
      <c r="B393" s="14">
        <v>13814657</v>
      </c>
      <c r="C393" s="20">
        <v>848405060775</v>
      </c>
      <c r="D393" s="6" t="s">
        <v>498</v>
      </c>
      <c r="E393" s="19">
        <v>1</v>
      </c>
      <c r="F393" s="15">
        <v>18.989999999999998</v>
      </c>
      <c r="G393" s="15">
        <v>18.989999999999998</v>
      </c>
      <c r="H393" s="7"/>
      <c r="I393" s="7" t="s">
        <v>752</v>
      </c>
      <c r="J393" s="7" t="s">
        <v>778</v>
      </c>
      <c r="K393" s="7"/>
    </row>
    <row r="394" spans="1:11" ht="20.100000000000001" customHeight="1" x14ac:dyDescent="0.25">
      <c r="A394" s="13" t="s">
        <v>160</v>
      </c>
      <c r="B394" s="14">
        <v>13814657</v>
      </c>
      <c r="C394" s="20">
        <v>844353884449</v>
      </c>
      <c r="D394" s="6" t="s">
        <v>499</v>
      </c>
      <c r="E394" s="19">
        <v>1</v>
      </c>
      <c r="F394" s="15">
        <v>146.99</v>
      </c>
      <c r="G394" s="15">
        <v>146.99</v>
      </c>
      <c r="H394" s="7" t="s">
        <v>665</v>
      </c>
      <c r="I394" s="7" t="s">
        <v>674</v>
      </c>
      <c r="J394" s="7" t="s">
        <v>788</v>
      </c>
      <c r="K394" s="7"/>
    </row>
    <row r="395" spans="1:11" ht="20.100000000000001" customHeight="1" x14ac:dyDescent="0.25">
      <c r="A395" s="13" t="s">
        <v>160</v>
      </c>
      <c r="B395" s="14">
        <v>13814657</v>
      </c>
      <c r="C395" s="20">
        <v>86569728616</v>
      </c>
      <c r="D395" s="6" t="s">
        <v>1293</v>
      </c>
      <c r="E395" s="19">
        <v>1</v>
      </c>
      <c r="F395" s="15">
        <v>99.99</v>
      </c>
      <c r="G395" s="15">
        <v>99.99</v>
      </c>
      <c r="H395" s="7"/>
      <c r="I395" s="7" t="s">
        <v>1294</v>
      </c>
      <c r="J395" s="7" t="s">
        <v>815</v>
      </c>
      <c r="K395" s="7"/>
    </row>
    <row r="396" spans="1:11" ht="20.100000000000001" customHeight="1" x14ac:dyDescent="0.25">
      <c r="A396" s="13" t="s">
        <v>160</v>
      </c>
      <c r="B396" s="14">
        <v>13814657</v>
      </c>
      <c r="C396" s="20">
        <v>733003962975</v>
      </c>
      <c r="D396" s="6" t="s">
        <v>500</v>
      </c>
      <c r="E396" s="19">
        <v>1</v>
      </c>
      <c r="F396" s="15">
        <v>149.99</v>
      </c>
      <c r="G396" s="15">
        <v>149.99</v>
      </c>
      <c r="H396" s="7" t="s">
        <v>704</v>
      </c>
      <c r="I396" s="7" t="s">
        <v>808</v>
      </c>
      <c r="J396" s="7" t="s">
        <v>809</v>
      </c>
      <c r="K396" s="7"/>
    </row>
    <row r="397" spans="1:11" ht="20.100000000000001" customHeight="1" x14ac:dyDescent="0.25">
      <c r="A397" s="13" t="s">
        <v>160</v>
      </c>
      <c r="B397" s="14">
        <v>13814657</v>
      </c>
      <c r="C397" s="20">
        <v>810012744393</v>
      </c>
      <c r="D397" s="6" t="s">
        <v>501</v>
      </c>
      <c r="E397" s="19">
        <v>1</v>
      </c>
      <c r="F397" s="15">
        <v>34.99</v>
      </c>
      <c r="G397" s="15">
        <v>34.99</v>
      </c>
      <c r="H397" s="7" t="s">
        <v>999</v>
      </c>
      <c r="I397" s="7" t="s">
        <v>674</v>
      </c>
      <c r="J397" s="7" t="s">
        <v>888</v>
      </c>
      <c r="K397" s="7"/>
    </row>
    <row r="398" spans="1:11" ht="20.100000000000001" customHeight="1" x14ac:dyDescent="0.25">
      <c r="A398" s="13" t="s">
        <v>160</v>
      </c>
      <c r="B398" s="14">
        <v>13814657</v>
      </c>
      <c r="C398" s="20">
        <v>73558822950</v>
      </c>
      <c r="D398" s="6" t="s">
        <v>466</v>
      </c>
      <c r="E398" s="19">
        <v>1</v>
      </c>
      <c r="F398" s="15">
        <v>109.99</v>
      </c>
      <c r="G398" s="15">
        <v>109.99</v>
      </c>
      <c r="H398" s="7"/>
      <c r="I398" s="7" t="s">
        <v>1294</v>
      </c>
      <c r="J398" s="7" t="s">
        <v>467</v>
      </c>
      <c r="K398" s="7"/>
    </row>
    <row r="399" spans="1:11" ht="20.100000000000001" customHeight="1" x14ac:dyDescent="0.25">
      <c r="A399" s="13" t="s">
        <v>160</v>
      </c>
      <c r="B399" s="14">
        <v>13814657</v>
      </c>
      <c r="C399" s="20">
        <v>734737686724</v>
      </c>
      <c r="D399" s="6" t="s">
        <v>502</v>
      </c>
      <c r="E399" s="19">
        <v>1</v>
      </c>
      <c r="F399" s="15">
        <v>59.99</v>
      </c>
      <c r="G399" s="15">
        <v>59.99</v>
      </c>
      <c r="H399" s="7" t="s">
        <v>676</v>
      </c>
      <c r="I399" s="7" t="s">
        <v>672</v>
      </c>
      <c r="J399" s="7" t="s">
        <v>696</v>
      </c>
      <c r="K399" s="7"/>
    </row>
    <row r="400" spans="1:11" ht="20.100000000000001" customHeight="1" x14ac:dyDescent="0.25">
      <c r="A400" s="13" t="s">
        <v>160</v>
      </c>
      <c r="B400" s="14">
        <v>13814657</v>
      </c>
      <c r="C400" s="20">
        <v>628961004129</v>
      </c>
      <c r="D400" s="6" t="s">
        <v>503</v>
      </c>
      <c r="E400" s="19">
        <v>1</v>
      </c>
      <c r="F400" s="15">
        <v>149.99</v>
      </c>
      <c r="G400" s="15">
        <v>149.99</v>
      </c>
      <c r="H400" s="7" t="s">
        <v>732</v>
      </c>
      <c r="I400" s="7" t="s">
        <v>666</v>
      </c>
      <c r="J400" s="7" t="s">
        <v>855</v>
      </c>
      <c r="K400" s="7"/>
    </row>
    <row r="401" spans="1:11" ht="20.100000000000001" customHeight="1" x14ac:dyDescent="0.25">
      <c r="A401" s="13" t="s">
        <v>160</v>
      </c>
      <c r="B401" s="14">
        <v>13814657</v>
      </c>
      <c r="C401" s="20">
        <v>810031412068</v>
      </c>
      <c r="D401" s="6" t="s">
        <v>504</v>
      </c>
      <c r="E401" s="19">
        <v>1</v>
      </c>
      <c r="F401" s="15">
        <v>44.99</v>
      </c>
      <c r="G401" s="15">
        <v>44.99</v>
      </c>
      <c r="H401" s="7" t="s">
        <v>784</v>
      </c>
      <c r="I401" s="7" t="s">
        <v>1294</v>
      </c>
      <c r="J401" s="7" t="s">
        <v>834</v>
      </c>
      <c r="K401" s="7"/>
    </row>
    <row r="402" spans="1:11" ht="20.100000000000001" customHeight="1" x14ac:dyDescent="0.25">
      <c r="A402" s="13" t="s">
        <v>160</v>
      </c>
      <c r="B402" s="14">
        <v>13814657</v>
      </c>
      <c r="C402" s="20">
        <v>766360474645</v>
      </c>
      <c r="D402" s="6" t="s">
        <v>505</v>
      </c>
      <c r="E402" s="19">
        <v>1</v>
      </c>
      <c r="F402" s="15">
        <v>39.99</v>
      </c>
      <c r="G402" s="15">
        <v>39.99</v>
      </c>
      <c r="H402" s="7" t="s">
        <v>789</v>
      </c>
      <c r="I402" s="7" t="s">
        <v>692</v>
      </c>
      <c r="J402" s="7" t="s">
        <v>753</v>
      </c>
      <c r="K402" s="7"/>
    </row>
    <row r="403" spans="1:11" ht="20.100000000000001" customHeight="1" x14ac:dyDescent="0.25">
      <c r="A403" s="13" t="s">
        <v>160</v>
      </c>
      <c r="B403" s="14">
        <v>13814657</v>
      </c>
      <c r="C403" s="20">
        <v>733002875504</v>
      </c>
      <c r="D403" s="6" t="s">
        <v>506</v>
      </c>
      <c r="E403" s="19">
        <v>2</v>
      </c>
      <c r="F403" s="15">
        <v>79.989999999999995</v>
      </c>
      <c r="G403" s="15">
        <v>159.97999999999999</v>
      </c>
      <c r="H403" s="7" t="s">
        <v>668</v>
      </c>
      <c r="I403" s="7" t="s">
        <v>680</v>
      </c>
      <c r="J403" s="7" t="s">
        <v>817</v>
      </c>
      <c r="K403" s="7"/>
    </row>
    <row r="404" spans="1:11" ht="20.100000000000001" customHeight="1" x14ac:dyDescent="0.25">
      <c r="A404" s="13" t="s">
        <v>160</v>
      </c>
      <c r="B404" s="14">
        <v>13814657</v>
      </c>
      <c r="C404" s="20">
        <v>191790054103</v>
      </c>
      <c r="D404" s="6" t="s">
        <v>507</v>
      </c>
      <c r="E404" s="19">
        <v>1</v>
      </c>
      <c r="F404" s="15">
        <v>49.99</v>
      </c>
      <c r="G404" s="15">
        <v>49.99</v>
      </c>
      <c r="H404" s="7" t="s">
        <v>766</v>
      </c>
      <c r="I404" s="7" t="s">
        <v>666</v>
      </c>
      <c r="J404" s="7" t="s">
        <v>706</v>
      </c>
      <c r="K404" s="7"/>
    </row>
    <row r="405" spans="1:11" ht="20.100000000000001" customHeight="1" x14ac:dyDescent="0.25">
      <c r="A405" s="13" t="s">
        <v>160</v>
      </c>
      <c r="B405" s="14">
        <v>13814657</v>
      </c>
      <c r="C405" s="20">
        <v>733004831324</v>
      </c>
      <c r="D405" s="6" t="s">
        <v>508</v>
      </c>
      <c r="E405" s="19">
        <v>1</v>
      </c>
      <c r="F405" s="15">
        <v>119.99</v>
      </c>
      <c r="G405" s="15">
        <v>119.99</v>
      </c>
      <c r="H405" s="7" t="s">
        <v>771</v>
      </c>
      <c r="I405" s="7" t="s">
        <v>797</v>
      </c>
      <c r="J405" s="7" t="s">
        <v>825</v>
      </c>
      <c r="K405" s="7"/>
    </row>
    <row r="406" spans="1:11" ht="20.100000000000001" customHeight="1" x14ac:dyDescent="0.25">
      <c r="A406" s="13" t="s">
        <v>160</v>
      </c>
      <c r="B406" s="14">
        <v>13814657</v>
      </c>
      <c r="C406" s="20">
        <v>733003193997</v>
      </c>
      <c r="D406" s="6" t="s">
        <v>509</v>
      </c>
      <c r="E406" s="19">
        <v>4</v>
      </c>
      <c r="F406" s="15">
        <v>49.99</v>
      </c>
      <c r="G406" s="15">
        <v>199.96</v>
      </c>
      <c r="H406" s="7" t="s">
        <v>704</v>
      </c>
      <c r="I406" s="7" t="s">
        <v>808</v>
      </c>
      <c r="J406" s="7" t="s">
        <v>809</v>
      </c>
      <c r="K406" s="7"/>
    </row>
    <row r="407" spans="1:11" ht="20.100000000000001" customHeight="1" x14ac:dyDescent="0.25">
      <c r="A407" s="13" t="s">
        <v>160</v>
      </c>
      <c r="B407" s="14">
        <v>13814657</v>
      </c>
      <c r="C407" s="20">
        <v>734737686502</v>
      </c>
      <c r="D407" s="6" t="s">
        <v>510</v>
      </c>
      <c r="E407" s="19">
        <v>1</v>
      </c>
      <c r="F407" s="15">
        <v>49.99</v>
      </c>
      <c r="G407" s="15">
        <v>49.99</v>
      </c>
      <c r="H407" s="7" t="s">
        <v>707</v>
      </c>
      <c r="I407" s="7" t="s">
        <v>672</v>
      </c>
      <c r="J407" s="7" t="s">
        <v>696</v>
      </c>
      <c r="K407" s="7"/>
    </row>
    <row r="408" spans="1:11" ht="20.100000000000001" customHeight="1" x14ac:dyDescent="0.25">
      <c r="A408" s="13" t="s">
        <v>160</v>
      </c>
      <c r="B408" s="14">
        <v>13814657</v>
      </c>
      <c r="C408" s="20">
        <v>732999785353</v>
      </c>
      <c r="D408" s="6" t="s">
        <v>511</v>
      </c>
      <c r="E408" s="19">
        <v>4</v>
      </c>
      <c r="F408" s="15">
        <v>7.99</v>
      </c>
      <c r="G408" s="15">
        <v>31.96</v>
      </c>
      <c r="H408" s="7" t="s">
        <v>742</v>
      </c>
      <c r="I408" s="7" t="s">
        <v>694</v>
      </c>
      <c r="J408" s="7" t="s">
        <v>695</v>
      </c>
      <c r="K408" s="7"/>
    </row>
    <row r="409" spans="1:11" ht="20.100000000000001" customHeight="1" x14ac:dyDescent="0.25">
      <c r="A409" s="13" t="s">
        <v>160</v>
      </c>
      <c r="B409" s="14">
        <v>13814657</v>
      </c>
      <c r="C409" s="20">
        <v>733002875306</v>
      </c>
      <c r="D409" s="6" t="s">
        <v>512</v>
      </c>
      <c r="E409" s="19">
        <v>1</v>
      </c>
      <c r="F409" s="15">
        <v>329.99</v>
      </c>
      <c r="G409" s="15">
        <v>329.99</v>
      </c>
      <c r="H409" s="7" t="s">
        <v>668</v>
      </c>
      <c r="I409" s="7" t="s">
        <v>680</v>
      </c>
      <c r="J409" s="7" t="s">
        <v>733</v>
      </c>
      <c r="K409" s="7"/>
    </row>
    <row r="410" spans="1:11" ht="20.100000000000001" customHeight="1" x14ac:dyDescent="0.25">
      <c r="A410" s="13" t="s">
        <v>160</v>
      </c>
      <c r="B410" s="14">
        <v>13814657</v>
      </c>
      <c r="C410" s="20">
        <v>788904162504</v>
      </c>
      <c r="D410" s="6" t="s">
        <v>513</v>
      </c>
      <c r="E410" s="19">
        <v>1</v>
      </c>
      <c r="F410" s="15">
        <v>189.99</v>
      </c>
      <c r="G410" s="15">
        <v>189.99</v>
      </c>
      <c r="H410" s="7" t="s">
        <v>668</v>
      </c>
      <c r="I410" s="7" t="s">
        <v>684</v>
      </c>
      <c r="J410" s="7" t="s">
        <v>685</v>
      </c>
      <c r="K410" s="7"/>
    </row>
    <row r="411" spans="1:11" ht="20.100000000000001" customHeight="1" x14ac:dyDescent="0.25">
      <c r="A411" s="13" t="s">
        <v>160</v>
      </c>
      <c r="B411" s="14">
        <v>13814657</v>
      </c>
      <c r="C411" s="20">
        <v>883893739710</v>
      </c>
      <c r="D411" s="6" t="s">
        <v>514</v>
      </c>
      <c r="E411" s="19">
        <v>1</v>
      </c>
      <c r="F411" s="15">
        <v>149.99</v>
      </c>
      <c r="G411" s="15">
        <v>149.99</v>
      </c>
      <c r="H411" s="7" t="s">
        <v>668</v>
      </c>
      <c r="I411" s="7" t="s">
        <v>719</v>
      </c>
      <c r="J411" s="7" t="s">
        <v>155</v>
      </c>
      <c r="K411" s="7"/>
    </row>
    <row r="412" spans="1:11" ht="20.100000000000001" customHeight="1" x14ac:dyDescent="0.25">
      <c r="A412" s="13" t="s">
        <v>160</v>
      </c>
      <c r="B412" s="14">
        <v>13814657</v>
      </c>
      <c r="C412" s="20">
        <v>733002823611</v>
      </c>
      <c r="D412" s="6" t="s">
        <v>515</v>
      </c>
      <c r="E412" s="19">
        <v>1</v>
      </c>
      <c r="F412" s="15">
        <v>41.99</v>
      </c>
      <c r="G412" s="15">
        <v>41.99</v>
      </c>
      <c r="H412" s="7" t="s">
        <v>768</v>
      </c>
      <c r="I412" s="7" t="s">
        <v>730</v>
      </c>
      <c r="J412" s="7" t="s">
        <v>760</v>
      </c>
      <c r="K412" s="7"/>
    </row>
    <row r="413" spans="1:11" ht="20.100000000000001" customHeight="1" x14ac:dyDescent="0.25">
      <c r="A413" s="13" t="s">
        <v>160</v>
      </c>
      <c r="B413" s="14">
        <v>13814657</v>
      </c>
      <c r="C413" s="20">
        <v>733003657376</v>
      </c>
      <c r="D413" s="6" t="s">
        <v>516</v>
      </c>
      <c r="E413" s="19">
        <v>1</v>
      </c>
      <c r="F413" s="15">
        <v>89.99</v>
      </c>
      <c r="G413" s="15">
        <v>89.99</v>
      </c>
      <c r="H413" s="7" t="s">
        <v>676</v>
      </c>
      <c r="I413" s="7" t="s">
        <v>680</v>
      </c>
      <c r="J413" s="7" t="s">
        <v>733</v>
      </c>
      <c r="K413" s="7"/>
    </row>
    <row r="414" spans="1:11" ht="20.100000000000001" customHeight="1" x14ac:dyDescent="0.25">
      <c r="A414" s="13" t="s">
        <v>160</v>
      </c>
      <c r="B414" s="14">
        <v>13814657</v>
      </c>
      <c r="C414" s="20">
        <v>810076485430</v>
      </c>
      <c r="D414" s="6" t="s">
        <v>517</v>
      </c>
      <c r="E414" s="19">
        <v>1</v>
      </c>
      <c r="F414" s="15">
        <v>14.99</v>
      </c>
      <c r="G414" s="15">
        <v>14.99</v>
      </c>
      <c r="H414" s="7" t="s">
        <v>665</v>
      </c>
      <c r="I414" s="7" t="s">
        <v>752</v>
      </c>
      <c r="J414" s="7" t="s">
        <v>148</v>
      </c>
      <c r="K414" s="7"/>
    </row>
    <row r="415" spans="1:11" ht="20.100000000000001" customHeight="1" x14ac:dyDescent="0.25">
      <c r="A415" s="13" t="s">
        <v>160</v>
      </c>
      <c r="B415" s="14">
        <v>13814657</v>
      </c>
      <c r="C415" s="20">
        <v>733003048235</v>
      </c>
      <c r="D415" s="6" t="s">
        <v>518</v>
      </c>
      <c r="E415" s="19">
        <v>2</v>
      </c>
      <c r="F415" s="15">
        <v>49.99</v>
      </c>
      <c r="G415" s="15">
        <v>99.98</v>
      </c>
      <c r="H415" s="7" t="s">
        <v>676</v>
      </c>
      <c r="I415" s="7" t="s">
        <v>808</v>
      </c>
      <c r="J415" s="7" t="s">
        <v>809</v>
      </c>
      <c r="K415" s="7"/>
    </row>
    <row r="416" spans="1:11" ht="20.100000000000001" customHeight="1" x14ac:dyDescent="0.25">
      <c r="E416" s="16">
        <f>SUM(E2:E415)</f>
        <v>533</v>
      </c>
      <c r="G416" s="24">
        <f>SUM(G2:G415)</f>
        <v>37946.410000000091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6"/>
  <sheetViews>
    <sheetView topLeftCell="A304" workbookViewId="0">
      <selection activeCell="L5" sqref="L5"/>
    </sheetView>
  </sheetViews>
  <sheetFormatPr defaultRowHeight="20.100000000000001" customHeight="1" x14ac:dyDescent="0.25"/>
  <cols>
    <col min="1" max="1" width="14.28515625" customWidth="1"/>
    <col min="2" max="2" width="12.5703125" customWidth="1"/>
    <col min="3" max="3" width="15" customWidth="1"/>
    <col min="4" max="4" width="50" customWidth="1"/>
    <col min="5" max="5" width="16.5703125" customWidth="1"/>
    <col min="6" max="6" width="15.28515625" customWidth="1"/>
    <col min="7" max="7" width="14.5703125" customWidth="1"/>
    <col min="8" max="8" width="12.140625" customWidth="1"/>
    <col min="9" max="9" width="18" customWidth="1"/>
    <col min="10" max="10" width="39.28515625" bestFit="1" customWidth="1"/>
    <col min="11" max="11" width="48.140625" bestFit="1" customWidth="1"/>
    <col min="12" max="12" width="64.28515625" customWidth="1"/>
  </cols>
  <sheetData>
    <row r="1" spans="1:12" ht="20.100000000000001" customHeight="1" x14ac:dyDescent="0.25">
      <c r="A1" s="23" t="s">
        <v>960</v>
      </c>
      <c r="B1" s="23" t="s">
        <v>961</v>
      </c>
      <c r="C1" s="23" t="s">
        <v>657</v>
      </c>
      <c r="D1" s="23" t="s">
        <v>658</v>
      </c>
      <c r="E1" s="23" t="s">
        <v>659</v>
      </c>
      <c r="F1" s="23" t="s">
        <v>962</v>
      </c>
      <c r="G1" s="23" t="s">
        <v>660</v>
      </c>
      <c r="H1" s="23" t="s">
        <v>661</v>
      </c>
      <c r="I1" s="23" t="s">
        <v>662</v>
      </c>
      <c r="J1" s="23" t="s">
        <v>663</v>
      </c>
      <c r="K1" s="23" t="s">
        <v>664</v>
      </c>
      <c r="L1" s="5"/>
    </row>
    <row r="2" spans="1:12" ht="20.100000000000001" customHeight="1" x14ac:dyDescent="0.25">
      <c r="A2" s="13" t="s">
        <v>160</v>
      </c>
      <c r="B2" s="14">
        <v>13810619</v>
      </c>
      <c r="C2" s="8">
        <v>10482319064</v>
      </c>
      <c r="D2" s="6" t="s">
        <v>519</v>
      </c>
      <c r="E2" s="19">
        <v>1</v>
      </c>
      <c r="F2" s="15">
        <v>21.99</v>
      </c>
      <c r="G2" s="15">
        <v>21.99</v>
      </c>
      <c r="H2" s="7" t="s">
        <v>668</v>
      </c>
      <c r="I2" s="7" t="s">
        <v>666</v>
      </c>
      <c r="J2" s="7" t="s">
        <v>776</v>
      </c>
      <c r="K2" s="7" t="str">
        <f>HYPERLINK("http://slimages.macys.com/is/image/MCY/13743715 ")</f>
        <v xml:space="preserve">http://slimages.macys.com/is/image/MCY/13743715 </v>
      </c>
      <c r="L2" s="10"/>
    </row>
    <row r="3" spans="1:12" ht="20.100000000000001" customHeight="1" x14ac:dyDescent="0.25">
      <c r="A3" s="13" t="s">
        <v>160</v>
      </c>
      <c r="B3" s="14">
        <v>13810619</v>
      </c>
      <c r="C3" s="8">
        <v>13964294705</v>
      </c>
      <c r="D3" s="6" t="s">
        <v>520</v>
      </c>
      <c r="E3" s="19">
        <v>1</v>
      </c>
      <c r="F3" s="15">
        <v>60.99</v>
      </c>
      <c r="G3" s="15">
        <v>60.99</v>
      </c>
      <c r="H3" s="7" t="s">
        <v>668</v>
      </c>
      <c r="I3" s="7" t="s">
        <v>669</v>
      </c>
      <c r="J3" s="7" t="s">
        <v>670</v>
      </c>
      <c r="K3" s="7" t="str">
        <f>HYPERLINK("http://slimages.macys.com/is/image/MCY/11798090 ")</f>
        <v xml:space="preserve">http://slimages.macys.com/is/image/MCY/11798090 </v>
      </c>
      <c r="L3" s="10"/>
    </row>
    <row r="4" spans="1:12" ht="20.100000000000001" customHeight="1" x14ac:dyDescent="0.25">
      <c r="A4" s="13" t="s">
        <v>160</v>
      </c>
      <c r="B4" s="14">
        <v>13810619</v>
      </c>
      <c r="C4" s="8">
        <v>21864252978</v>
      </c>
      <c r="D4" s="6" t="s">
        <v>521</v>
      </c>
      <c r="E4" s="19">
        <v>2</v>
      </c>
      <c r="F4" s="15">
        <v>9.99</v>
      </c>
      <c r="G4" s="15">
        <v>19.98</v>
      </c>
      <c r="H4" s="7"/>
      <c r="I4" s="7" t="s">
        <v>752</v>
      </c>
      <c r="J4" s="7" t="s">
        <v>889</v>
      </c>
      <c r="K4" s="7" t="str">
        <f>HYPERLINK("http://slimages.macys.com/is/image/MCY/807332 ")</f>
        <v xml:space="preserve">http://slimages.macys.com/is/image/MCY/807332 </v>
      </c>
      <c r="L4" s="10"/>
    </row>
    <row r="5" spans="1:12" ht="20.100000000000001" customHeight="1" x14ac:dyDescent="0.25">
      <c r="A5" s="13" t="s">
        <v>160</v>
      </c>
      <c r="B5" s="14">
        <v>13810619</v>
      </c>
      <c r="C5" s="8">
        <v>21864285556</v>
      </c>
      <c r="D5" s="6" t="s">
        <v>522</v>
      </c>
      <c r="E5" s="19">
        <v>1</v>
      </c>
      <c r="F5" s="15">
        <v>9.99</v>
      </c>
      <c r="G5" s="15">
        <v>9.99</v>
      </c>
      <c r="H5" s="7" t="s">
        <v>688</v>
      </c>
      <c r="I5" s="7" t="s">
        <v>752</v>
      </c>
      <c r="J5" s="7" t="s">
        <v>889</v>
      </c>
      <c r="K5" s="7" t="str">
        <f>HYPERLINK("http://slimages.macys.com/is/image/MCY/1119570 ")</f>
        <v xml:space="preserve">http://slimages.macys.com/is/image/MCY/1119570 </v>
      </c>
      <c r="L5" s="10"/>
    </row>
    <row r="6" spans="1:12" ht="20.100000000000001" customHeight="1" x14ac:dyDescent="0.25">
      <c r="A6" s="13" t="s">
        <v>160</v>
      </c>
      <c r="B6" s="14">
        <v>13810619</v>
      </c>
      <c r="C6" s="8">
        <v>21864285617</v>
      </c>
      <c r="D6" s="6" t="s">
        <v>523</v>
      </c>
      <c r="E6" s="19">
        <v>1</v>
      </c>
      <c r="F6" s="15">
        <v>9.99</v>
      </c>
      <c r="G6" s="15">
        <v>9.99</v>
      </c>
      <c r="H6" s="7" t="s">
        <v>688</v>
      </c>
      <c r="I6" s="7" t="s">
        <v>752</v>
      </c>
      <c r="J6" s="7" t="s">
        <v>889</v>
      </c>
      <c r="K6" s="7" t="str">
        <f>HYPERLINK("http://slimages.macys.com/is/image/MCY/1119570 ")</f>
        <v xml:space="preserve">http://slimages.macys.com/is/image/MCY/1119570 </v>
      </c>
      <c r="L6" s="10"/>
    </row>
    <row r="7" spans="1:12" ht="20.100000000000001" customHeight="1" x14ac:dyDescent="0.25">
      <c r="A7" s="13" t="s">
        <v>160</v>
      </c>
      <c r="B7" s="14">
        <v>13810619</v>
      </c>
      <c r="C7" s="8">
        <v>21864350131</v>
      </c>
      <c r="D7" s="6" t="s">
        <v>524</v>
      </c>
      <c r="E7" s="19">
        <v>1</v>
      </c>
      <c r="F7" s="15">
        <v>14.99</v>
      </c>
      <c r="G7" s="15">
        <v>14.99</v>
      </c>
      <c r="H7" s="7" t="s">
        <v>707</v>
      </c>
      <c r="I7" s="7" t="s">
        <v>752</v>
      </c>
      <c r="J7" s="7" t="s">
        <v>889</v>
      </c>
      <c r="K7" s="7" t="str">
        <f>HYPERLINK("http://slimages.macys.com/is/image/MCY/8763894 ")</f>
        <v xml:space="preserve">http://slimages.macys.com/is/image/MCY/8763894 </v>
      </c>
      <c r="L7" s="10"/>
    </row>
    <row r="8" spans="1:12" ht="20.100000000000001" customHeight="1" x14ac:dyDescent="0.25">
      <c r="A8" s="13" t="s">
        <v>160</v>
      </c>
      <c r="B8" s="14">
        <v>13810619</v>
      </c>
      <c r="C8" s="8">
        <v>21864368563</v>
      </c>
      <c r="D8" s="6" t="s">
        <v>525</v>
      </c>
      <c r="E8" s="19">
        <v>1</v>
      </c>
      <c r="F8" s="15">
        <v>15.99</v>
      </c>
      <c r="G8" s="15">
        <v>15.99</v>
      </c>
      <c r="H8" s="7" t="s">
        <v>863</v>
      </c>
      <c r="I8" s="7" t="s">
        <v>682</v>
      </c>
      <c r="J8" s="7" t="s">
        <v>889</v>
      </c>
      <c r="K8" s="7" t="str">
        <f>HYPERLINK("http://slimages.macys.com/is/image/MCY/8972963 ")</f>
        <v xml:space="preserve">http://slimages.macys.com/is/image/MCY/8972963 </v>
      </c>
      <c r="L8" s="10"/>
    </row>
    <row r="9" spans="1:12" ht="20.100000000000001" customHeight="1" x14ac:dyDescent="0.25">
      <c r="A9" s="13" t="s">
        <v>160</v>
      </c>
      <c r="B9" s="14">
        <v>13810619</v>
      </c>
      <c r="C9" s="8">
        <v>22415211048</v>
      </c>
      <c r="D9" s="6" t="s">
        <v>526</v>
      </c>
      <c r="E9" s="19">
        <v>1</v>
      </c>
      <c r="F9" s="15">
        <v>28.99</v>
      </c>
      <c r="G9" s="15">
        <v>28.99</v>
      </c>
      <c r="H9" s="7" t="s">
        <v>668</v>
      </c>
      <c r="I9" s="7" t="s">
        <v>669</v>
      </c>
      <c r="J9" s="7" t="s">
        <v>758</v>
      </c>
      <c r="K9" s="7" t="str">
        <f>HYPERLINK("http://slimages.macys.com/is/image/MCY/17673743 ")</f>
        <v xml:space="preserve">http://slimages.macys.com/is/image/MCY/17673743 </v>
      </c>
      <c r="L9" s="10"/>
    </row>
    <row r="10" spans="1:12" ht="20.100000000000001" customHeight="1" x14ac:dyDescent="0.25">
      <c r="A10" s="13" t="s">
        <v>160</v>
      </c>
      <c r="B10" s="14">
        <v>13810619</v>
      </c>
      <c r="C10" s="8">
        <v>25695992928</v>
      </c>
      <c r="D10" s="6" t="s">
        <v>173</v>
      </c>
      <c r="E10" s="19">
        <v>1</v>
      </c>
      <c r="F10" s="15">
        <v>22.99</v>
      </c>
      <c r="G10" s="15">
        <v>22.99</v>
      </c>
      <c r="H10" s="7" t="s">
        <v>668</v>
      </c>
      <c r="I10" s="7" t="s">
        <v>669</v>
      </c>
      <c r="J10" s="7" t="s">
        <v>135</v>
      </c>
      <c r="K10" s="7" t="str">
        <f>HYPERLINK("http://slimages.macys.com/is/image/MCY/16541170 ")</f>
        <v xml:space="preserve">http://slimages.macys.com/is/image/MCY/16541170 </v>
      </c>
      <c r="L10" s="10"/>
    </row>
    <row r="11" spans="1:12" ht="20.100000000000001" customHeight="1" x14ac:dyDescent="0.25">
      <c r="A11" s="13" t="s">
        <v>160</v>
      </c>
      <c r="B11" s="14">
        <v>13810619</v>
      </c>
      <c r="C11" s="8">
        <v>25695992935</v>
      </c>
      <c r="D11" s="6" t="s">
        <v>527</v>
      </c>
      <c r="E11" s="19">
        <v>1</v>
      </c>
      <c r="F11" s="15">
        <v>22.99</v>
      </c>
      <c r="G11" s="15">
        <v>22.99</v>
      </c>
      <c r="H11" s="7" t="s">
        <v>668</v>
      </c>
      <c r="I11" s="7" t="s">
        <v>669</v>
      </c>
      <c r="J11" s="7" t="s">
        <v>135</v>
      </c>
      <c r="K11" s="7" t="str">
        <f>HYPERLINK("http://slimages.macys.com/is/image/MCY/16541150 ")</f>
        <v xml:space="preserve">http://slimages.macys.com/is/image/MCY/16541150 </v>
      </c>
      <c r="L11" s="10"/>
    </row>
    <row r="12" spans="1:12" ht="20.100000000000001" customHeight="1" x14ac:dyDescent="0.25">
      <c r="A12" s="13" t="s">
        <v>160</v>
      </c>
      <c r="B12" s="14">
        <v>13810619</v>
      </c>
      <c r="C12" s="8">
        <v>25695992942</v>
      </c>
      <c r="D12" s="6" t="s">
        <v>966</v>
      </c>
      <c r="E12" s="19">
        <v>3</v>
      </c>
      <c r="F12" s="15">
        <v>22.99</v>
      </c>
      <c r="G12" s="15">
        <v>68.97</v>
      </c>
      <c r="H12" s="7" t="s">
        <v>668</v>
      </c>
      <c r="I12" s="7" t="s">
        <v>669</v>
      </c>
      <c r="J12" s="7" t="s">
        <v>135</v>
      </c>
      <c r="K12" s="7" t="str">
        <f>HYPERLINK("http://slimages.macys.com/is/image/MCY/16541154 ")</f>
        <v xml:space="preserve">http://slimages.macys.com/is/image/MCY/16541154 </v>
      </c>
      <c r="L12" s="10"/>
    </row>
    <row r="13" spans="1:12" ht="20.100000000000001" customHeight="1" x14ac:dyDescent="0.25">
      <c r="A13" s="13" t="s">
        <v>160</v>
      </c>
      <c r="B13" s="14">
        <v>13810619</v>
      </c>
      <c r="C13" s="8">
        <v>26865853698</v>
      </c>
      <c r="D13" s="6" t="s">
        <v>528</v>
      </c>
      <c r="E13" s="19">
        <v>1</v>
      </c>
      <c r="F13" s="15">
        <v>35.99</v>
      </c>
      <c r="G13" s="15">
        <v>35.99</v>
      </c>
      <c r="H13" s="7" t="s">
        <v>671</v>
      </c>
      <c r="I13" s="7" t="s">
        <v>674</v>
      </c>
      <c r="J13" s="7" t="s">
        <v>699</v>
      </c>
      <c r="K13" s="7" t="str">
        <f>HYPERLINK("http://slimages.macys.com/is/image/MCY/9170671 ")</f>
        <v xml:space="preserve">http://slimages.macys.com/is/image/MCY/9170671 </v>
      </c>
      <c r="L13" s="10"/>
    </row>
    <row r="14" spans="1:12" ht="20.100000000000001" customHeight="1" x14ac:dyDescent="0.25">
      <c r="A14" s="13" t="s">
        <v>160</v>
      </c>
      <c r="B14" s="14">
        <v>13810619</v>
      </c>
      <c r="C14" s="8">
        <v>26865876277</v>
      </c>
      <c r="D14" s="6" t="s">
        <v>529</v>
      </c>
      <c r="E14" s="19">
        <v>4</v>
      </c>
      <c r="F14" s="15">
        <v>33.99</v>
      </c>
      <c r="G14" s="15">
        <v>135.96</v>
      </c>
      <c r="H14" s="7" t="s">
        <v>762</v>
      </c>
      <c r="I14" s="7" t="s">
        <v>674</v>
      </c>
      <c r="J14" s="7" t="s">
        <v>699</v>
      </c>
      <c r="K14" s="7" t="str">
        <f>HYPERLINK("http://slimages.macys.com/is/image/MCY/9170620 ")</f>
        <v xml:space="preserve">http://slimages.macys.com/is/image/MCY/9170620 </v>
      </c>
      <c r="L14" s="10"/>
    </row>
    <row r="15" spans="1:12" ht="20.100000000000001" customHeight="1" x14ac:dyDescent="0.25">
      <c r="A15" s="13" t="s">
        <v>160</v>
      </c>
      <c r="B15" s="14">
        <v>13810619</v>
      </c>
      <c r="C15" s="8">
        <v>26865919622</v>
      </c>
      <c r="D15" s="6" t="s">
        <v>530</v>
      </c>
      <c r="E15" s="19">
        <v>1</v>
      </c>
      <c r="F15" s="15">
        <v>46.99</v>
      </c>
      <c r="G15" s="15">
        <v>46.99</v>
      </c>
      <c r="H15" s="7" t="s">
        <v>754</v>
      </c>
      <c r="I15" s="7" t="s">
        <v>674</v>
      </c>
      <c r="J15" s="7" t="s">
        <v>699</v>
      </c>
      <c r="K15" s="7" t="str">
        <f>HYPERLINK("http://slimages.macys.com/is/image/MCY/9168182 ")</f>
        <v xml:space="preserve">http://slimages.macys.com/is/image/MCY/9168182 </v>
      </c>
      <c r="L15" s="10"/>
    </row>
    <row r="16" spans="1:12" ht="20.100000000000001" customHeight="1" x14ac:dyDescent="0.25">
      <c r="A16" s="13" t="s">
        <v>160</v>
      </c>
      <c r="B16" s="14">
        <v>13810619</v>
      </c>
      <c r="C16" s="8">
        <v>29927431919</v>
      </c>
      <c r="D16" s="6" t="s">
        <v>531</v>
      </c>
      <c r="E16" s="19">
        <v>1</v>
      </c>
      <c r="F16" s="15">
        <v>15.99</v>
      </c>
      <c r="G16" s="15">
        <v>15.99</v>
      </c>
      <c r="H16" s="7" t="s">
        <v>762</v>
      </c>
      <c r="I16" s="7" t="s">
        <v>674</v>
      </c>
      <c r="J16" s="7" t="s">
        <v>702</v>
      </c>
      <c r="K16" s="7" t="str">
        <f>HYPERLINK("http://slimages.macys.com/is/image/MCY/10007760 ")</f>
        <v xml:space="preserve">http://slimages.macys.com/is/image/MCY/10007760 </v>
      </c>
      <c r="L16" s="10"/>
    </row>
    <row r="17" spans="1:12" ht="20.100000000000001" customHeight="1" x14ac:dyDescent="0.25">
      <c r="A17" s="13" t="s">
        <v>160</v>
      </c>
      <c r="B17" s="14">
        <v>13810619</v>
      </c>
      <c r="C17" s="8">
        <v>29927440218</v>
      </c>
      <c r="D17" s="6" t="s">
        <v>532</v>
      </c>
      <c r="E17" s="19">
        <v>1</v>
      </c>
      <c r="F17" s="15">
        <v>17.989999999999998</v>
      </c>
      <c r="G17" s="15">
        <v>17.989999999999998</v>
      </c>
      <c r="H17" s="7" t="s">
        <v>762</v>
      </c>
      <c r="I17" s="7" t="s">
        <v>674</v>
      </c>
      <c r="J17" s="7" t="s">
        <v>702</v>
      </c>
      <c r="K17" s="7" t="str">
        <f>HYPERLINK("http://slimages.macys.com/is/image/MCY/3208152 ")</f>
        <v xml:space="preserve">http://slimages.macys.com/is/image/MCY/3208152 </v>
      </c>
      <c r="L17" s="10"/>
    </row>
    <row r="18" spans="1:12" ht="20.100000000000001" customHeight="1" x14ac:dyDescent="0.25">
      <c r="A18" s="13" t="s">
        <v>160</v>
      </c>
      <c r="B18" s="14">
        <v>13810619</v>
      </c>
      <c r="C18" s="8">
        <v>29927487725</v>
      </c>
      <c r="D18" s="6" t="s">
        <v>533</v>
      </c>
      <c r="E18" s="19">
        <v>1</v>
      </c>
      <c r="F18" s="15">
        <v>23.99</v>
      </c>
      <c r="G18" s="15">
        <v>23.99</v>
      </c>
      <c r="H18" s="7" t="s">
        <v>807</v>
      </c>
      <c r="I18" s="7" t="s">
        <v>674</v>
      </c>
      <c r="J18" s="7" t="s">
        <v>702</v>
      </c>
      <c r="K18" s="7" t="str">
        <f>HYPERLINK("http://slimages.macys.com/is/image/MCY/8498656 ")</f>
        <v xml:space="preserve">http://slimages.macys.com/is/image/MCY/8498656 </v>
      </c>
      <c r="L18" s="10"/>
    </row>
    <row r="19" spans="1:12" ht="20.100000000000001" customHeight="1" x14ac:dyDescent="0.25">
      <c r="A19" s="13" t="s">
        <v>160</v>
      </c>
      <c r="B19" s="14">
        <v>13810619</v>
      </c>
      <c r="C19" s="8">
        <v>29927504309</v>
      </c>
      <c r="D19" s="6" t="s">
        <v>534</v>
      </c>
      <c r="E19" s="19">
        <v>1</v>
      </c>
      <c r="F19" s="15">
        <v>11.99</v>
      </c>
      <c r="G19" s="15">
        <v>11.99</v>
      </c>
      <c r="H19" s="7" t="s">
        <v>704</v>
      </c>
      <c r="I19" s="7" t="s">
        <v>674</v>
      </c>
      <c r="J19" s="7" t="s">
        <v>702</v>
      </c>
      <c r="K19" s="7" t="str">
        <f>HYPERLINK("http://slimages.macys.com/is/image/MCY/8740194 ")</f>
        <v xml:space="preserve">http://slimages.macys.com/is/image/MCY/8740194 </v>
      </c>
      <c r="L19" s="10"/>
    </row>
    <row r="20" spans="1:12" ht="20.100000000000001" customHeight="1" x14ac:dyDescent="0.25">
      <c r="A20" s="13" t="s">
        <v>160</v>
      </c>
      <c r="B20" s="14">
        <v>13810619</v>
      </c>
      <c r="C20" s="8">
        <v>29927534696</v>
      </c>
      <c r="D20" s="6" t="s">
        <v>535</v>
      </c>
      <c r="E20" s="19">
        <v>1</v>
      </c>
      <c r="F20" s="15">
        <v>26.99</v>
      </c>
      <c r="G20" s="15">
        <v>26.99</v>
      </c>
      <c r="H20" s="7" t="s">
        <v>701</v>
      </c>
      <c r="I20" s="7" t="s">
        <v>674</v>
      </c>
      <c r="J20" s="7" t="s">
        <v>702</v>
      </c>
      <c r="K20" s="7" t="str">
        <f>HYPERLINK("http://slimages.macys.com/is/image/MCY/10010128 ")</f>
        <v xml:space="preserve">http://slimages.macys.com/is/image/MCY/10010128 </v>
      </c>
      <c r="L20" s="10"/>
    </row>
    <row r="21" spans="1:12" ht="20.100000000000001" customHeight="1" x14ac:dyDescent="0.25">
      <c r="A21" s="13" t="s">
        <v>160</v>
      </c>
      <c r="B21" s="14">
        <v>13810619</v>
      </c>
      <c r="C21" s="8">
        <v>29927534696</v>
      </c>
      <c r="D21" s="6" t="s">
        <v>535</v>
      </c>
      <c r="E21" s="19">
        <v>1</v>
      </c>
      <c r="F21" s="15">
        <v>26.99</v>
      </c>
      <c r="G21" s="15">
        <v>26.99</v>
      </c>
      <c r="H21" s="7" t="s">
        <v>701</v>
      </c>
      <c r="I21" s="7" t="s">
        <v>674</v>
      </c>
      <c r="J21" s="7" t="s">
        <v>702</v>
      </c>
      <c r="K21" s="7" t="str">
        <f>HYPERLINK("http://slimages.macys.com/is/image/MCY/10010128 ")</f>
        <v xml:space="preserve">http://slimages.macys.com/is/image/MCY/10010128 </v>
      </c>
      <c r="L21" s="10"/>
    </row>
    <row r="22" spans="1:12" ht="20.100000000000001" customHeight="1" x14ac:dyDescent="0.25">
      <c r="A22" s="13" t="s">
        <v>160</v>
      </c>
      <c r="B22" s="14">
        <v>13810619</v>
      </c>
      <c r="C22" s="8">
        <v>29927535655</v>
      </c>
      <c r="D22" s="6" t="s">
        <v>536</v>
      </c>
      <c r="E22" s="19">
        <v>2</v>
      </c>
      <c r="F22" s="15">
        <v>9.99</v>
      </c>
      <c r="G22" s="15">
        <v>19.98</v>
      </c>
      <c r="H22" s="7" t="s">
        <v>668</v>
      </c>
      <c r="I22" s="7" t="s">
        <v>674</v>
      </c>
      <c r="J22" s="7" t="s">
        <v>702</v>
      </c>
      <c r="K22" s="7" t="str">
        <f>HYPERLINK("http://slimages.macys.com/is/image/MCY/10004251 ")</f>
        <v xml:space="preserve">http://slimages.macys.com/is/image/MCY/10004251 </v>
      </c>
      <c r="L22" s="10"/>
    </row>
    <row r="23" spans="1:12" ht="20.100000000000001" customHeight="1" x14ac:dyDescent="0.25">
      <c r="A23" s="13" t="s">
        <v>160</v>
      </c>
      <c r="B23" s="14">
        <v>13810619</v>
      </c>
      <c r="C23" s="8">
        <v>29927563016</v>
      </c>
      <c r="D23" s="6" t="s">
        <v>537</v>
      </c>
      <c r="E23" s="19">
        <v>1</v>
      </c>
      <c r="F23" s="15">
        <v>14.99</v>
      </c>
      <c r="G23" s="15">
        <v>14.99</v>
      </c>
      <c r="H23" s="7" t="s">
        <v>745</v>
      </c>
      <c r="I23" s="7" t="s">
        <v>674</v>
      </c>
      <c r="J23" s="7" t="s">
        <v>702</v>
      </c>
      <c r="K23" s="7" t="str">
        <f>HYPERLINK("http://slimages.macys.com/is/image/MCY/9644198 ")</f>
        <v xml:space="preserve">http://slimages.macys.com/is/image/MCY/9644198 </v>
      </c>
      <c r="L23" s="10"/>
    </row>
    <row r="24" spans="1:12" ht="20.100000000000001" customHeight="1" x14ac:dyDescent="0.25">
      <c r="A24" s="13" t="s">
        <v>160</v>
      </c>
      <c r="B24" s="14">
        <v>13810619</v>
      </c>
      <c r="C24" s="8">
        <v>29927565867</v>
      </c>
      <c r="D24" s="6" t="s">
        <v>538</v>
      </c>
      <c r="E24" s="19">
        <v>1</v>
      </c>
      <c r="F24" s="15">
        <v>34.99</v>
      </c>
      <c r="G24" s="15">
        <v>34.99</v>
      </c>
      <c r="H24" s="7" t="s">
        <v>745</v>
      </c>
      <c r="I24" s="7" t="s">
        <v>674</v>
      </c>
      <c r="J24" s="7" t="s">
        <v>702</v>
      </c>
      <c r="K24" s="7" t="str">
        <f>HYPERLINK("http://slimages.macys.com/is/image/MCY/16060354 ")</f>
        <v xml:space="preserve">http://slimages.macys.com/is/image/MCY/16060354 </v>
      </c>
      <c r="L24" s="10"/>
    </row>
    <row r="25" spans="1:12" ht="20.100000000000001" customHeight="1" x14ac:dyDescent="0.25">
      <c r="A25" s="13" t="s">
        <v>160</v>
      </c>
      <c r="B25" s="14">
        <v>13810619</v>
      </c>
      <c r="C25" s="8">
        <v>32281277376</v>
      </c>
      <c r="D25" s="6" t="s">
        <v>539</v>
      </c>
      <c r="E25" s="19">
        <v>1</v>
      </c>
      <c r="F25" s="15">
        <v>29.99</v>
      </c>
      <c r="G25" s="15">
        <v>29.99</v>
      </c>
      <c r="H25" s="7"/>
      <c r="I25" s="7" t="s">
        <v>1294</v>
      </c>
      <c r="J25" s="7" t="s">
        <v>898</v>
      </c>
      <c r="K25" s="7" t="str">
        <f>HYPERLINK("http://slimages.macys.com/is/image/MCY/12049793 ")</f>
        <v xml:space="preserve">http://slimages.macys.com/is/image/MCY/12049793 </v>
      </c>
      <c r="L25" s="10"/>
    </row>
    <row r="26" spans="1:12" ht="20.100000000000001" customHeight="1" x14ac:dyDescent="0.25">
      <c r="A26" s="13" t="s">
        <v>160</v>
      </c>
      <c r="B26" s="14">
        <v>13810619</v>
      </c>
      <c r="C26" s="8">
        <v>38992905171</v>
      </c>
      <c r="D26" s="6" t="s">
        <v>540</v>
      </c>
      <c r="E26" s="19">
        <v>1</v>
      </c>
      <c r="F26" s="15">
        <v>49.99</v>
      </c>
      <c r="G26" s="15">
        <v>49.99</v>
      </c>
      <c r="H26" s="7" t="s">
        <v>668</v>
      </c>
      <c r="I26" s="7" t="s">
        <v>689</v>
      </c>
      <c r="J26" s="7" t="s">
        <v>718</v>
      </c>
      <c r="K26" s="7" t="str">
        <f>HYPERLINK("http://slimages.macys.com/is/image/MCY/8924402 ")</f>
        <v xml:space="preserve">http://slimages.macys.com/is/image/MCY/8924402 </v>
      </c>
      <c r="L26" s="10"/>
    </row>
    <row r="27" spans="1:12" ht="20.100000000000001" customHeight="1" x14ac:dyDescent="0.25">
      <c r="A27" s="13" t="s">
        <v>160</v>
      </c>
      <c r="B27" s="14">
        <v>13810619</v>
      </c>
      <c r="C27" s="8">
        <v>38992905188</v>
      </c>
      <c r="D27" s="6" t="s">
        <v>541</v>
      </c>
      <c r="E27" s="19">
        <v>1</v>
      </c>
      <c r="F27" s="15">
        <v>149.99</v>
      </c>
      <c r="G27" s="15">
        <v>149.99</v>
      </c>
      <c r="H27" s="7" t="s">
        <v>668</v>
      </c>
      <c r="I27" s="7" t="s">
        <v>689</v>
      </c>
      <c r="J27" s="7" t="s">
        <v>718</v>
      </c>
      <c r="K27" s="7" t="str">
        <f>HYPERLINK("http://slimages.macys.com/is/image/MCY/8924402 ")</f>
        <v xml:space="preserve">http://slimages.macys.com/is/image/MCY/8924402 </v>
      </c>
      <c r="L27" s="10"/>
    </row>
    <row r="28" spans="1:12" ht="20.100000000000001" customHeight="1" x14ac:dyDescent="0.25">
      <c r="A28" s="13" t="s">
        <v>160</v>
      </c>
      <c r="B28" s="14">
        <v>13810619</v>
      </c>
      <c r="C28" s="8">
        <v>42437000512</v>
      </c>
      <c r="D28" s="6" t="s">
        <v>542</v>
      </c>
      <c r="E28" s="19">
        <v>2</v>
      </c>
      <c r="F28" s="15">
        <v>36.99</v>
      </c>
      <c r="G28" s="15">
        <v>73.98</v>
      </c>
      <c r="H28" s="7" t="s">
        <v>665</v>
      </c>
      <c r="I28" s="7" t="s">
        <v>682</v>
      </c>
      <c r="J28" s="7" t="s">
        <v>903</v>
      </c>
      <c r="K28" s="7" t="str">
        <f>HYPERLINK("http://slimages.macys.com/is/image/MCY/14465027 ")</f>
        <v xml:space="preserve">http://slimages.macys.com/is/image/MCY/14465027 </v>
      </c>
      <c r="L28" s="10"/>
    </row>
    <row r="29" spans="1:12" ht="20.100000000000001" customHeight="1" x14ac:dyDescent="0.25">
      <c r="A29" s="13" t="s">
        <v>160</v>
      </c>
      <c r="B29" s="14">
        <v>13810619</v>
      </c>
      <c r="C29" s="8">
        <v>42437028899</v>
      </c>
      <c r="D29" s="6" t="s">
        <v>543</v>
      </c>
      <c r="E29" s="19">
        <v>1</v>
      </c>
      <c r="F29" s="15">
        <v>56.99</v>
      </c>
      <c r="G29" s="15">
        <v>56.99</v>
      </c>
      <c r="H29" s="7" t="s">
        <v>707</v>
      </c>
      <c r="I29" s="7" t="s">
        <v>674</v>
      </c>
      <c r="J29" s="7" t="s">
        <v>903</v>
      </c>
      <c r="K29" s="7" t="str">
        <f>HYPERLINK("http://slimages.macys.com/is/image/MCY/15297451 ")</f>
        <v xml:space="preserve">http://slimages.macys.com/is/image/MCY/15297451 </v>
      </c>
      <c r="L29" s="10"/>
    </row>
    <row r="30" spans="1:12" ht="20.100000000000001" customHeight="1" x14ac:dyDescent="0.25">
      <c r="A30" s="13" t="s">
        <v>160</v>
      </c>
      <c r="B30" s="14">
        <v>13810619</v>
      </c>
      <c r="C30" s="8">
        <v>42694347634</v>
      </c>
      <c r="D30" s="6" t="s">
        <v>544</v>
      </c>
      <c r="E30" s="19">
        <v>1</v>
      </c>
      <c r="F30" s="15">
        <v>25.99</v>
      </c>
      <c r="G30" s="15">
        <v>25.99</v>
      </c>
      <c r="H30" s="7" t="s">
        <v>668</v>
      </c>
      <c r="I30" s="7" t="s">
        <v>836</v>
      </c>
      <c r="J30" s="7" t="s">
        <v>844</v>
      </c>
      <c r="K30" s="7" t="str">
        <f>HYPERLINK("http://slimages.macys.com/is/image/MCY/9898874 ")</f>
        <v xml:space="preserve">http://slimages.macys.com/is/image/MCY/9898874 </v>
      </c>
      <c r="L30" s="10"/>
    </row>
    <row r="31" spans="1:12" ht="20.100000000000001" customHeight="1" x14ac:dyDescent="0.25">
      <c r="A31" s="13" t="s">
        <v>160</v>
      </c>
      <c r="B31" s="14">
        <v>13810619</v>
      </c>
      <c r="C31" s="8">
        <v>46249646692</v>
      </c>
      <c r="D31" s="6" t="s">
        <v>545</v>
      </c>
      <c r="E31" s="19">
        <v>1</v>
      </c>
      <c r="F31" s="15">
        <v>3.99</v>
      </c>
      <c r="G31" s="15">
        <v>3.99</v>
      </c>
      <c r="H31" s="7" t="s">
        <v>668</v>
      </c>
      <c r="I31" s="7" t="s">
        <v>752</v>
      </c>
      <c r="J31" s="7" t="s">
        <v>792</v>
      </c>
      <c r="K31" s="7" t="str">
        <f>HYPERLINK("http://slimages.macys.com/is/image/MCY/17493343 ")</f>
        <v xml:space="preserve">http://slimages.macys.com/is/image/MCY/17493343 </v>
      </c>
      <c r="L31" s="10"/>
    </row>
    <row r="32" spans="1:12" ht="20.100000000000001" customHeight="1" x14ac:dyDescent="0.25">
      <c r="A32" s="13" t="s">
        <v>160</v>
      </c>
      <c r="B32" s="14">
        <v>13810619</v>
      </c>
      <c r="C32" s="8">
        <v>86268142300</v>
      </c>
      <c r="D32" s="6" t="s">
        <v>546</v>
      </c>
      <c r="E32" s="19">
        <v>2</v>
      </c>
      <c r="F32" s="15">
        <v>40.99</v>
      </c>
      <c r="G32" s="15">
        <v>81.98</v>
      </c>
      <c r="H32" s="7" t="s">
        <v>768</v>
      </c>
      <c r="I32" s="7" t="s">
        <v>674</v>
      </c>
      <c r="J32" s="7" t="s">
        <v>884</v>
      </c>
      <c r="K32" s="7" t="str">
        <f>HYPERLINK("http://slimages.macys.com/is/image/MCY/10272259 ")</f>
        <v xml:space="preserve">http://slimages.macys.com/is/image/MCY/10272259 </v>
      </c>
      <c r="L32" s="10"/>
    </row>
    <row r="33" spans="1:12" ht="20.100000000000001" customHeight="1" x14ac:dyDescent="0.25">
      <c r="A33" s="13" t="s">
        <v>160</v>
      </c>
      <c r="B33" s="14">
        <v>13810619</v>
      </c>
      <c r="C33" s="8">
        <v>86569099785</v>
      </c>
      <c r="D33" s="6" t="s">
        <v>547</v>
      </c>
      <c r="E33" s="19">
        <v>1</v>
      </c>
      <c r="F33" s="15">
        <v>109.99</v>
      </c>
      <c r="G33" s="15">
        <v>109.99</v>
      </c>
      <c r="H33" s="7" t="s">
        <v>668</v>
      </c>
      <c r="I33" s="7" t="s">
        <v>736</v>
      </c>
      <c r="J33" s="7" t="s">
        <v>873</v>
      </c>
      <c r="K33" s="7" t="str">
        <f>HYPERLINK("http://slimages.macys.com/is/image/MCY/15144360 ")</f>
        <v xml:space="preserve">http://slimages.macys.com/is/image/MCY/15144360 </v>
      </c>
      <c r="L33" s="10"/>
    </row>
    <row r="34" spans="1:12" ht="20.100000000000001" customHeight="1" x14ac:dyDescent="0.25">
      <c r="A34" s="13" t="s">
        <v>160</v>
      </c>
      <c r="B34" s="14">
        <v>13810619</v>
      </c>
      <c r="C34" s="8">
        <v>86569217073</v>
      </c>
      <c r="D34" s="6" t="s">
        <v>548</v>
      </c>
      <c r="E34" s="19">
        <v>1</v>
      </c>
      <c r="F34" s="15">
        <v>70.989999999999995</v>
      </c>
      <c r="G34" s="15">
        <v>70.989999999999995</v>
      </c>
      <c r="H34" s="7" t="s">
        <v>785</v>
      </c>
      <c r="I34" s="7" t="s">
        <v>666</v>
      </c>
      <c r="J34" s="7" t="s">
        <v>756</v>
      </c>
      <c r="K34" s="7" t="str">
        <f>HYPERLINK("http://slimages.macys.com/is/image/MCY/15214623 ")</f>
        <v xml:space="preserve">http://slimages.macys.com/is/image/MCY/15214623 </v>
      </c>
      <c r="L34" s="10"/>
    </row>
    <row r="35" spans="1:12" ht="20.100000000000001" customHeight="1" x14ac:dyDescent="0.25">
      <c r="A35" s="13" t="s">
        <v>160</v>
      </c>
      <c r="B35" s="14">
        <v>13810619</v>
      </c>
      <c r="C35" s="8">
        <v>86569272041</v>
      </c>
      <c r="D35" s="6" t="s">
        <v>549</v>
      </c>
      <c r="E35" s="19">
        <v>1</v>
      </c>
      <c r="F35" s="15">
        <v>70.989999999999995</v>
      </c>
      <c r="G35" s="15">
        <v>70.989999999999995</v>
      </c>
      <c r="H35" s="7" t="s">
        <v>759</v>
      </c>
      <c r="I35" s="7" t="s">
        <v>666</v>
      </c>
      <c r="J35" s="7" t="s">
        <v>756</v>
      </c>
      <c r="K35" s="7" t="str">
        <f>HYPERLINK("http://slimages.macys.com/is/image/MCY/16484915 ")</f>
        <v xml:space="preserve">http://slimages.macys.com/is/image/MCY/16484915 </v>
      </c>
      <c r="L35" s="10"/>
    </row>
    <row r="36" spans="1:12" ht="20.100000000000001" customHeight="1" x14ac:dyDescent="0.25">
      <c r="A36" s="13" t="s">
        <v>160</v>
      </c>
      <c r="B36" s="14">
        <v>13810619</v>
      </c>
      <c r="C36" s="8">
        <v>86569279736</v>
      </c>
      <c r="D36" s="6" t="s">
        <v>865</v>
      </c>
      <c r="E36" s="19">
        <v>1</v>
      </c>
      <c r="F36" s="15">
        <v>129.99</v>
      </c>
      <c r="G36" s="15">
        <v>129.99</v>
      </c>
      <c r="H36" s="7" t="s">
        <v>708</v>
      </c>
      <c r="I36" s="7" t="s">
        <v>672</v>
      </c>
      <c r="J36" s="7" t="s">
        <v>679</v>
      </c>
      <c r="K36" s="7" t="str">
        <f>HYPERLINK("http://slimages.macys.com/is/image/MCY/14654906 ")</f>
        <v xml:space="preserve">http://slimages.macys.com/is/image/MCY/14654906 </v>
      </c>
      <c r="L36" s="10"/>
    </row>
    <row r="37" spans="1:12" ht="20.100000000000001" customHeight="1" x14ac:dyDescent="0.25">
      <c r="A37" s="13" t="s">
        <v>160</v>
      </c>
      <c r="B37" s="14">
        <v>13810619</v>
      </c>
      <c r="C37" s="8">
        <v>86569287441</v>
      </c>
      <c r="D37" s="6" t="s">
        <v>550</v>
      </c>
      <c r="E37" s="19">
        <v>1</v>
      </c>
      <c r="F37" s="15">
        <v>67.989999999999995</v>
      </c>
      <c r="G37" s="15">
        <v>67.989999999999995</v>
      </c>
      <c r="H37" s="7" t="s">
        <v>676</v>
      </c>
      <c r="I37" s="7" t="s">
        <v>666</v>
      </c>
      <c r="J37" s="7" t="s">
        <v>756</v>
      </c>
      <c r="K37" s="7" t="str">
        <f>HYPERLINK("http://slimages.macys.com/is/image/MCY/15723386 ")</f>
        <v xml:space="preserve">http://slimages.macys.com/is/image/MCY/15723386 </v>
      </c>
      <c r="L37" s="10"/>
    </row>
    <row r="38" spans="1:12" ht="20.100000000000001" customHeight="1" x14ac:dyDescent="0.25">
      <c r="A38" s="13" t="s">
        <v>160</v>
      </c>
      <c r="B38" s="14">
        <v>13810619</v>
      </c>
      <c r="C38" s="8">
        <v>86569349163</v>
      </c>
      <c r="D38" s="6" t="s">
        <v>551</v>
      </c>
      <c r="E38" s="19">
        <v>2</v>
      </c>
      <c r="F38" s="15">
        <v>129.99</v>
      </c>
      <c r="G38" s="15">
        <v>259.98</v>
      </c>
      <c r="H38" s="7" t="s">
        <v>671</v>
      </c>
      <c r="I38" s="7" t="s">
        <v>672</v>
      </c>
      <c r="J38" s="7" t="s">
        <v>679</v>
      </c>
      <c r="K38" s="7" t="str">
        <f>HYPERLINK("http://slimages.macys.com/is/image/MCY/16650276 ")</f>
        <v xml:space="preserve">http://slimages.macys.com/is/image/MCY/16650276 </v>
      </c>
      <c r="L38" s="10"/>
    </row>
    <row r="39" spans="1:12" ht="20.100000000000001" customHeight="1" x14ac:dyDescent="0.25">
      <c r="A39" s="13" t="s">
        <v>160</v>
      </c>
      <c r="B39" s="14">
        <v>13810619</v>
      </c>
      <c r="C39" s="8">
        <v>86569363411</v>
      </c>
      <c r="D39" s="6" t="s">
        <v>552</v>
      </c>
      <c r="E39" s="19">
        <v>1</v>
      </c>
      <c r="F39" s="15">
        <v>47.99</v>
      </c>
      <c r="G39" s="15">
        <v>47.99</v>
      </c>
      <c r="H39" s="7" t="s">
        <v>704</v>
      </c>
      <c r="I39" s="7" t="s">
        <v>730</v>
      </c>
      <c r="J39" s="7" t="s">
        <v>760</v>
      </c>
      <c r="K39" s="7" t="str">
        <f>HYPERLINK("http://slimages.macys.com/is/image/MCY/9489266 ")</f>
        <v xml:space="preserve">http://slimages.macys.com/is/image/MCY/9489266 </v>
      </c>
      <c r="L39" s="10"/>
    </row>
    <row r="40" spans="1:12" ht="20.100000000000001" customHeight="1" x14ac:dyDescent="0.25">
      <c r="A40" s="13" t="s">
        <v>160</v>
      </c>
      <c r="B40" s="14">
        <v>13810619</v>
      </c>
      <c r="C40" s="8">
        <v>86569363442</v>
      </c>
      <c r="D40" s="6" t="s">
        <v>959</v>
      </c>
      <c r="E40" s="19">
        <v>1</v>
      </c>
      <c r="F40" s="15">
        <v>47.99</v>
      </c>
      <c r="G40" s="15">
        <v>47.99</v>
      </c>
      <c r="H40" s="7" t="s">
        <v>677</v>
      </c>
      <c r="I40" s="7" t="s">
        <v>730</v>
      </c>
      <c r="J40" s="7" t="s">
        <v>760</v>
      </c>
      <c r="K40" s="7" t="str">
        <f>HYPERLINK("http://slimages.macys.com/is/image/MCY/9489266 ")</f>
        <v xml:space="preserve">http://slimages.macys.com/is/image/MCY/9489266 </v>
      </c>
      <c r="L40" s="10"/>
    </row>
    <row r="41" spans="1:12" ht="20.100000000000001" customHeight="1" x14ac:dyDescent="0.25">
      <c r="A41" s="13" t="s">
        <v>160</v>
      </c>
      <c r="B41" s="14">
        <v>13810619</v>
      </c>
      <c r="C41" s="8">
        <v>86569497758</v>
      </c>
      <c r="D41" s="6" t="s">
        <v>553</v>
      </c>
      <c r="E41" s="19">
        <v>1</v>
      </c>
      <c r="F41" s="15">
        <v>179.99</v>
      </c>
      <c r="G41" s="15">
        <v>179.99</v>
      </c>
      <c r="H41" s="7" t="s">
        <v>665</v>
      </c>
      <c r="I41" s="7" t="s">
        <v>672</v>
      </c>
      <c r="J41" s="7" t="s">
        <v>679</v>
      </c>
      <c r="K41" s="7" t="str">
        <f>HYPERLINK("http://slimages.macys.com/is/image/MCY/18883115 ")</f>
        <v xml:space="preserve">http://slimages.macys.com/is/image/MCY/18883115 </v>
      </c>
      <c r="L41" s="10"/>
    </row>
    <row r="42" spans="1:12" ht="20.100000000000001" customHeight="1" x14ac:dyDescent="0.25">
      <c r="A42" s="13" t="s">
        <v>160</v>
      </c>
      <c r="B42" s="14">
        <v>13810619</v>
      </c>
      <c r="C42" s="8">
        <v>90682373097</v>
      </c>
      <c r="D42" s="6" t="s">
        <v>554</v>
      </c>
      <c r="E42" s="19">
        <v>1</v>
      </c>
      <c r="F42" s="15">
        <v>117.99</v>
      </c>
      <c r="G42" s="15">
        <v>117.99</v>
      </c>
      <c r="H42" s="7"/>
      <c r="I42" s="7" t="s">
        <v>674</v>
      </c>
      <c r="J42" s="7" t="s">
        <v>555</v>
      </c>
      <c r="K42" s="7" t="str">
        <f>HYPERLINK("http://slimages.macys.com/is/image/MCY/11962060 ")</f>
        <v xml:space="preserve">http://slimages.macys.com/is/image/MCY/11962060 </v>
      </c>
      <c r="L42" s="10"/>
    </row>
    <row r="43" spans="1:12" ht="20.100000000000001" customHeight="1" x14ac:dyDescent="0.25">
      <c r="A43" s="13" t="s">
        <v>160</v>
      </c>
      <c r="B43" s="14">
        <v>13810619</v>
      </c>
      <c r="C43" s="8">
        <v>91116729862</v>
      </c>
      <c r="D43" s="6" t="s">
        <v>556</v>
      </c>
      <c r="E43" s="19">
        <v>1</v>
      </c>
      <c r="F43" s="15">
        <v>18.989999999999998</v>
      </c>
      <c r="G43" s="15">
        <v>18.989999999999998</v>
      </c>
      <c r="H43" s="7" t="s">
        <v>721</v>
      </c>
      <c r="I43" s="7" t="s">
        <v>666</v>
      </c>
      <c r="J43" s="7" t="s">
        <v>929</v>
      </c>
      <c r="K43" s="7" t="str">
        <f>HYPERLINK("http://slimages.macys.com/is/image/MCY/8967150 ")</f>
        <v xml:space="preserve">http://slimages.macys.com/is/image/MCY/8967150 </v>
      </c>
      <c r="L43" s="10"/>
    </row>
    <row r="44" spans="1:12" ht="20.100000000000001" customHeight="1" x14ac:dyDescent="0.25">
      <c r="A44" s="13" t="s">
        <v>160</v>
      </c>
      <c r="B44" s="14">
        <v>13810619</v>
      </c>
      <c r="C44" s="8">
        <v>96675170759</v>
      </c>
      <c r="D44" s="6" t="s">
        <v>557</v>
      </c>
      <c r="E44" s="19">
        <v>1</v>
      </c>
      <c r="F44" s="15">
        <v>124.99</v>
      </c>
      <c r="G44" s="15">
        <v>124.99</v>
      </c>
      <c r="H44" s="7" t="s">
        <v>668</v>
      </c>
      <c r="I44" s="7" t="s">
        <v>669</v>
      </c>
      <c r="J44" s="7" t="s">
        <v>787</v>
      </c>
      <c r="K44" s="7" t="str">
        <f>HYPERLINK("http://slimages.macys.com/is/image/MCY/12076537 ")</f>
        <v xml:space="preserve">http://slimages.macys.com/is/image/MCY/12076537 </v>
      </c>
      <c r="L44" s="10"/>
    </row>
    <row r="45" spans="1:12" ht="20.100000000000001" customHeight="1" x14ac:dyDescent="0.25">
      <c r="A45" s="13" t="s">
        <v>160</v>
      </c>
      <c r="B45" s="14">
        <v>13810619</v>
      </c>
      <c r="C45" s="8">
        <v>96675311015</v>
      </c>
      <c r="D45" s="6" t="s">
        <v>558</v>
      </c>
      <c r="E45" s="19">
        <v>1</v>
      </c>
      <c r="F45" s="15">
        <v>24.99</v>
      </c>
      <c r="G45" s="15">
        <v>24.99</v>
      </c>
      <c r="H45" s="7" t="s">
        <v>688</v>
      </c>
      <c r="I45" s="7" t="s">
        <v>669</v>
      </c>
      <c r="J45" s="7" t="s">
        <v>787</v>
      </c>
      <c r="K45" s="7" t="str">
        <f>HYPERLINK("http://slimages.macys.com/is/image/MCY/16148734 ")</f>
        <v xml:space="preserve">http://slimages.macys.com/is/image/MCY/16148734 </v>
      </c>
      <c r="L45" s="10"/>
    </row>
    <row r="46" spans="1:12" ht="20.100000000000001" customHeight="1" x14ac:dyDescent="0.25">
      <c r="A46" s="13" t="s">
        <v>160</v>
      </c>
      <c r="B46" s="14">
        <v>13810619</v>
      </c>
      <c r="C46" s="8">
        <v>96675611337</v>
      </c>
      <c r="D46" s="6" t="s">
        <v>559</v>
      </c>
      <c r="E46" s="19">
        <v>1</v>
      </c>
      <c r="F46" s="15">
        <v>149.99</v>
      </c>
      <c r="G46" s="15">
        <v>149.99</v>
      </c>
      <c r="H46" s="7" t="s">
        <v>668</v>
      </c>
      <c r="I46" s="7" t="s">
        <v>669</v>
      </c>
      <c r="J46" s="7" t="s">
        <v>787</v>
      </c>
      <c r="K46" s="7" t="str">
        <f>HYPERLINK("http://slimages.macys.com/is/image/MCY/15866419 ")</f>
        <v xml:space="preserve">http://slimages.macys.com/is/image/MCY/15866419 </v>
      </c>
      <c r="L46" s="10"/>
    </row>
    <row r="47" spans="1:12" ht="20.100000000000001" customHeight="1" x14ac:dyDescent="0.25">
      <c r="A47" s="13" t="s">
        <v>160</v>
      </c>
      <c r="B47" s="14">
        <v>13810619</v>
      </c>
      <c r="C47" s="8">
        <v>96675611368</v>
      </c>
      <c r="D47" s="6" t="s">
        <v>560</v>
      </c>
      <c r="E47" s="19">
        <v>1</v>
      </c>
      <c r="F47" s="15">
        <v>109.99</v>
      </c>
      <c r="G47" s="15">
        <v>109.99</v>
      </c>
      <c r="H47" s="7" t="s">
        <v>668</v>
      </c>
      <c r="I47" s="7" t="s">
        <v>669</v>
      </c>
      <c r="J47" s="7" t="s">
        <v>787</v>
      </c>
      <c r="K47" s="7" t="str">
        <f>HYPERLINK("http://slimages.macys.com/is/image/MCY/15866442 ")</f>
        <v xml:space="preserve">http://slimages.macys.com/is/image/MCY/15866442 </v>
      </c>
      <c r="L47" s="10"/>
    </row>
    <row r="48" spans="1:12" ht="20.100000000000001" customHeight="1" x14ac:dyDescent="0.25">
      <c r="A48" s="13" t="s">
        <v>160</v>
      </c>
      <c r="B48" s="14">
        <v>13810619</v>
      </c>
      <c r="C48" s="8">
        <v>96675615311</v>
      </c>
      <c r="D48" s="6" t="s">
        <v>561</v>
      </c>
      <c r="E48" s="19">
        <v>1</v>
      </c>
      <c r="F48" s="15">
        <v>129.99</v>
      </c>
      <c r="G48" s="15">
        <v>129.99</v>
      </c>
      <c r="H48" s="7" t="s">
        <v>668</v>
      </c>
      <c r="I48" s="7" t="s">
        <v>669</v>
      </c>
      <c r="J48" s="7" t="s">
        <v>787</v>
      </c>
      <c r="K48" s="7" t="str">
        <f>HYPERLINK("http://slimages.macys.com/is/image/MCY/15866506 ")</f>
        <v xml:space="preserve">http://slimages.macys.com/is/image/MCY/15866506 </v>
      </c>
      <c r="L48" s="10"/>
    </row>
    <row r="49" spans="1:12" ht="20.100000000000001" customHeight="1" x14ac:dyDescent="0.25">
      <c r="A49" s="13" t="s">
        <v>160</v>
      </c>
      <c r="B49" s="14">
        <v>13810619</v>
      </c>
      <c r="C49" s="8">
        <v>96675615335</v>
      </c>
      <c r="D49" s="6" t="s">
        <v>562</v>
      </c>
      <c r="E49" s="19">
        <v>1</v>
      </c>
      <c r="F49" s="15">
        <v>199.99</v>
      </c>
      <c r="G49" s="15">
        <v>199.99</v>
      </c>
      <c r="H49" s="7" t="s">
        <v>668</v>
      </c>
      <c r="I49" s="7" t="s">
        <v>669</v>
      </c>
      <c r="J49" s="7" t="s">
        <v>787</v>
      </c>
      <c r="K49" s="7" t="str">
        <f>HYPERLINK("http://slimages.macys.com/is/image/MCY/15866377 ")</f>
        <v xml:space="preserve">http://slimages.macys.com/is/image/MCY/15866377 </v>
      </c>
      <c r="L49" s="10"/>
    </row>
    <row r="50" spans="1:12" ht="20.100000000000001" customHeight="1" x14ac:dyDescent="0.25">
      <c r="A50" s="13" t="s">
        <v>160</v>
      </c>
      <c r="B50" s="14">
        <v>13810619</v>
      </c>
      <c r="C50" s="8">
        <v>96675622364</v>
      </c>
      <c r="D50" s="6" t="s">
        <v>563</v>
      </c>
      <c r="E50" s="19">
        <v>1</v>
      </c>
      <c r="F50" s="15">
        <v>24.99</v>
      </c>
      <c r="G50" s="15">
        <v>24.99</v>
      </c>
      <c r="H50" s="7" t="s">
        <v>668</v>
      </c>
      <c r="I50" s="7" t="s">
        <v>669</v>
      </c>
      <c r="J50" s="7" t="s">
        <v>787</v>
      </c>
      <c r="K50" s="7" t="str">
        <f>HYPERLINK("http://slimages.macys.com/is/image/MCY/18694346 ")</f>
        <v xml:space="preserve">http://slimages.macys.com/is/image/MCY/18694346 </v>
      </c>
      <c r="L50" s="10"/>
    </row>
    <row r="51" spans="1:12" ht="20.100000000000001" customHeight="1" x14ac:dyDescent="0.25">
      <c r="A51" s="13" t="s">
        <v>160</v>
      </c>
      <c r="B51" s="14">
        <v>13810619</v>
      </c>
      <c r="C51" s="8">
        <v>96675807624</v>
      </c>
      <c r="D51" s="6" t="s">
        <v>846</v>
      </c>
      <c r="E51" s="19">
        <v>1</v>
      </c>
      <c r="F51" s="15">
        <v>44.99</v>
      </c>
      <c r="G51" s="15">
        <v>44.99</v>
      </c>
      <c r="H51" s="7" t="s">
        <v>668</v>
      </c>
      <c r="I51" s="7" t="s">
        <v>669</v>
      </c>
      <c r="J51" s="7" t="s">
        <v>787</v>
      </c>
      <c r="K51" s="7" t="str">
        <f>HYPERLINK("http://slimages.macys.com/is/image/MCY/3208067 ")</f>
        <v xml:space="preserve">http://slimages.macys.com/is/image/MCY/3208067 </v>
      </c>
      <c r="L51" s="10"/>
    </row>
    <row r="52" spans="1:12" ht="20.100000000000001" customHeight="1" x14ac:dyDescent="0.25">
      <c r="A52" s="13" t="s">
        <v>160</v>
      </c>
      <c r="B52" s="14">
        <v>13810619</v>
      </c>
      <c r="C52" s="8">
        <v>96675809079</v>
      </c>
      <c r="D52" s="6" t="s">
        <v>921</v>
      </c>
      <c r="E52" s="19">
        <v>1</v>
      </c>
      <c r="F52" s="15">
        <v>19.989999999999998</v>
      </c>
      <c r="G52" s="15">
        <v>19.989999999999998</v>
      </c>
      <c r="H52" s="7" t="s">
        <v>668</v>
      </c>
      <c r="I52" s="7" t="s">
        <v>669</v>
      </c>
      <c r="J52" s="7" t="s">
        <v>787</v>
      </c>
      <c r="K52" s="7" t="str">
        <f>HYPERLINK("http://images.bloomingdales.com/is/image/BLM/10919359 ")</f>
        <v xml:space="preserve">http://images.bloomingdales.com/is/image/BLM/10919359 </v>
      </c>
    </row>
    <row r="53" spans="1:12" ht="20.100000000000001" customHeight="1" x14ac:dyDescent="0.25">
      <c r="A53" s="13" t="s">
        <v>160</v>
      </c>
      <c r="B53" s="14">
        <v>13810619</v>
      </c>
      <c r="C53" s="8">
        <v>190714421502</v>
      </c>
      <c r="D53" s="6" t="s">
        <v>564</v>
      </c>
      <c r="E53" s="19">
        <v>1</v>
      </c>
      <c r="F53" s="15">
        <v>24.99</v>
      </c>
      <c r="G53" s="15">
        <v>24.99</v>
      </c>
      <c r="H53" s="7"/>
      <c r="I53" s="7" t="s">
        <v>674</v>
      </c>
      <c r="J53" s="7" t="s">
        <v>896</v>
      </c>
      <c r="K53" s="7" t="str">
        <f>HYPERLINK("http://slimages.macys.com/is/image/MCY/18173336 ")</f>
        <v xml:space="preserve">http://slimages.macys.com/is/image/MCY/18173336 </v>
      </c>
    </row>
    <row r="54" spans="1:12" ht="20.100000000000001" customHeight="1" x14ac:dyDescent="0.25">
      <c r="A54" s="13" t="s">
        <v>160</v>
      </c>
      <c r="B54" s="14">
        <v>13810619</v>
      </c>
      <c r="C54" s="8">
        <v>190714455033</v>
      </c>
      <c r="D54" s="6" t="s">
        <v>565</v>
      </c>
      <c r="E54" s="19">
        <v>2</v>
      </c>
      <c r="F54" s="15">
        <v>24.99</v>
      </c>
      <c r="G54" s="15">
        <v>49.98</v>
      </c>
      <c r="H54" s="7" t="s">
        <v>785</v>
      </c>
      <c r="I54" s="7" t="s">
        <v>674</v>
      </c>
      <c r="J54" s="7" t="s">
        <v>896</v>
      </c>
      <c r="K54" s="7" t="str">
        <f>HYPERLINK("http://slimages.macys.com/is/image/MCY/18592187 ")</f>
        <v xml:space="preserve">http://slimages.macys.com/is/image/MCY/18592187 </v>
      </c>
    </row>
    <row r="55" spans="1:12" ht="20.100000000000001" customHeight="1" x14ac:dyDescent="0.25">
      <c r="A55" s="13" t="s">
        <v>160</v>
      </c>
      <c r="B55" s="14">
        <v>13810619</v>
      </c>
      <c r="C55" s="8">
        <v>190945117465</v>
      </c>
      <c r="D55" s="6" t="s">
        <v>566</v>
      </c>
      <c r="E55" s="19">
        <v>1</v>
      </c>
      <c r="F55" s="15">
        <v>149.99</v>
      </c>
      <c r="G55" s="15">
        <v>149.99</v>
      </c>
      <c r="H55" s="7" t="s">
        <v>668</v>
      </c>
      <c r="I55" s="7" t="s">
        <v>674</v>
      </c>
      <c r="J55" s="7" t="s">
        <v>750</v>
      </c>
      <c r="K55" s="7" t="str">
        <f>HYPERLINK("http://slimages.macys.com/is/image/MCY/17860551 ")</f>
        <v xml:space="preserve">http://slimages.macys.com/is/image/MCY/17860551 </v>
      </c>
    </row>
    <row r="56" spans="1:12" ht="20.100000000000001" customHeight="1" x14ac:dyDescent="0.25">
      <c r="A56" s="13" t="s">
        <v>160</v>
      </c>
      <c r="B56" s="14">
        <v>13810619</v>
      </c>
      <c r="C56" s="8">
        <v>191790024359</v>
      </c>
      <c r="D56" s="6" t="s">
        <v>567</v>
      </c>
      <c r="E56" s="19">
        <v>1</v>
      </c>
      <c r="F56" s="15">
        <v>59.99</v>
      </c>
      <c r="G56" s="15">
        <v>59.99</v>
      </c>
      <c r="H56" s="7" t="s">
        <v>668</v>
      </c>
      <c r="I56" s="7" t="s">
        <v>666</v>
      </c>
      <c r="J56" s="7" t="s">
        <v>706</v>
      </c>
      <c r="K56" s="7" t="str">
        <f>HYPERLINK("http://slimages.macys.com/is/image/MCY/13036438 ")</f>
        <v xml:space="preserve">http://slimages.macys.com/is/image/MCY/13036438 </v>
      </c>
    </row>
    <row r="57" spans="1:12" ht="20.100000000000001" customHeight="1" x14ac:dyDescent="0.25">
      <c r="A57" s="13" t="s">
        <v>160</v>
      </c>
      <c r="B57" s="14">
        <v>13810619</v>
      </c>
      <c r="C57" s="8">
        <v>193842103876</v>
      </c>
      <c r="D57" s="6" t="s">
        <v>568</v>
      </c>
      <c r="E57" s="19">
        <v>1</v>
      </c>
      <c r="F57" s="15">
        <v>379.99</v>
      </c>
      <c r="G57" s="15">
        <v>379.99</v>
      </c>
      <c r="H57" s="7" t="s">
        <v>768</v>
      </c>
      <c r="I57" s="7" t="s">
        <v>689</v>
      </c>
      <c r="J57" s="7" t="s">
        <v>690</v>
      </c>
      <c r="K57" s="7" t="str">
        <f>HYPERLINK("http://slimages.macys.com/is/image/MCY/17136222 ")</f>
        <v xml:space="preserve">http://slimages.macys.com/is/image/MCY/17136222 </v>
      </c>
    </row>
    <row r="58" spans="1:12" ht="20.100000000000001" customHeight="1" x14ac:dyDescent="0.25">
      <c r="A58" s="13" t="s">
        <v>160</v>
      </c>
      <c r="B58" s="14">
        <v>13810619</v>
      </c>
      <c r="C58" s="8">
        <v>193842111369</v>
      </c>
      <c r="D58" s="6" t="s">
        <v>569</v>
      </c>
      <c r="E58" s="19">
        <v>1</v>
      </c>
      <c r="F58" s="15">
        <v>379.99</v>
      </c>
      <c r="G58" s="15">
        <v>379.99</v>
      </c>
      <c r="H58" s="7" t="s">
        <v>791</v>
      </c>
      <c r="I58" s="7" t="s">
        <v>689</v>
      </c>
      <c r="J58" s="7" t="s">
        <v>690</v>
      </c>
      <c r="K58" s="7" t="str">
        <f>HYPERLINK("http://slimages.macys.com/is/image/MCY/17659649 ")</f>
        <v xml:space="preserve">http://slimages.macys.com/is/image/MCY/17659649 </v>
      </c>
    </row>
    <row r="59" spans="1:12" ht="20.100000000000001" customHeight="1" x14ac:dyDescent="0.25">
      <c r="A59" s="13" t="s">
        <v>160</v>
      </c>
      <c r="B59" s="14">
        <v>13810619</v>
      </c>
      <c r="C59" s="8">
        <v>194590000295</v>
      </c>
      <c r="D59" s="6" t="s">
        <v>570</v>
      </c>
      <c r="E59" s="19">
        <v>3</v>
      </c>
      <c r="F59" s="15">
        <v>49.99</v>
      </c>
      <c r="G59" s="15">
        <v>149.97</v>
      </c>
      <c r="H59" s="7" t="s">
        <v>701</v>
      </c>
      <c r="I59" s="7" t="s">
        <v>674</v>
      </c>
      <c r="J59" s="7" t="s">
        <v>699</v>
      </c>
      <c r="K59" s="7" t="str">
        <f>HYPERLINK("http://slimages.macys.com/is/image/MCY/16646119 ")</f>
        <v xml:space="preserve">http://slimages.macys.com/is/image/MCY/16646119 </v>
      </c>
    </row>
    <row r="60" spans="1:12" ht="20.100000000000001" customHeight="1" x14ac:dyDescent="0.25">
      <c r="A60" s="13" t="s">
        <v>160</v>
      </c>
      <c r="B60" s="14">
        <v>13810619</v>
      </c>
      <c r="C60" s="8">
        <v>194938016988</v>
      </c>
      <c r="D60" s="6" t="s">
        <v>571</v>
      </c>
      <c r="E60" s="19">
        <v>1</v>
      </c>
      <c r="F60" s="15">
        <v>129.99</v>
      </c>
      <c r="G60" s="15">
        <v>129.99</v>
      </c>
      <c r="H60" s="7" t="s">
        <v>676</v>
      </c>
      <c r="I60" s="7" t="s">
        <v>674</v>
      </c>
      <c r="J60" s="7" t="s">
        <v>675</v>
      </c>
      <c r="K60" s="7" t="str">
        <f>HYPERLINK("http://slimages.macys.com/is/image/MCY/19077949 ")</f>
        <v xml:space="preserve">http://slimages.macys.com/is/image/MCY/19077949 </v>
      </c>
    </row>
    <row r="61" spans="1:12" ht="20.100000000000001" customHeight="1" x14ac:dyDescent="0.25">
      <c r="A61" s="13" t="s">
        <v>160</v>
      </c>
      <c r="B61" s="14">
        <v>13810619</v>
      </c>
      <c r="C61" s="8">
        <v>608356690977</v>
      </c>
      <c r="D61" s="6" t="s">
        <v>572</v>
      </c>
      <c r="E61" s="19">
        <v>1</v>
      </c>
      <c r="F61" s="15">
        <v>14.99</v>
      </c>
      <c r="G61" s="15">
        <v>14.99</v>
      </c>
      <c r="H61" s="7" t="s">
        <v>751</v>
      </c>
      <c r="I61" s="7" t="s">
        <v>694</v>
      </c>
      <c r="J61" s="7" t="s">
        <v>825</v>
      </c>
      <c r="K61" s="7" t="str">
        <f>HYPERLINK("http://slimages.macys.com/is/image/MCY/11946722 ")</f>
        <v xml:space="preserve">http://slimages.macys.com/is/image/MCY/11946722 </v>
      </c>
    </row>
    <row r="62" spans="1:12" ht="20.100000000000001" customHeight="1" x14ac:dyDescent="0.25">
      <c r="A62" s="13" t="s">
        <v>160</v>
      </c>
      <c r="B62" s="14">
        <v>13810619</v>
      </c>
      <c r="C62" s="8">
        <v>608356694500</v>
      </c>
      <c r="D62" s="6" t="s">
        <v>573</v>
      </c>
      <c r="E62" s="19">
        <v>1</v>
      </c>
      <c r="F62" s="15">
        <v>9.99</v>
      </c>
      <c r="G62" s="15">
        <v>9.99</v>
      </c>
      <c r="H62" s="7" t="s">
        <v>751</v>
      </c>
      <c r="I62" s="7" t="s">
        <v>694</v>
      </c>
      <c r="J62" s="7" t="s">
        <v>825</v>
      </c>
      <c r="K62" s="7" t="str">
        <f>HYPERLINK("http://slimages.macys.com/is/image/MCY/12067377 ")</f>
        <v xml:space="preserve">http://slimages.macys.com/is/image/MCY/12067377 </v>
      </c>
    </row>
    <row r="63" spans="1:12" ht="20.100000000000001" customHeight="1" x14ac:dyDescent="0.25">
      <c r="A63" s="13" t="s">
        <v>160</v>
      </c>
      <c r="B63" s="14">
        <v>13810619</v>
      </c>
      <c r="C63" s="8">
        <v>608356699598</v>
      </c>
      <c r="D63" s="6" t="s">
        <v>574</v>
      </c>
      <c r="E63" s="19">
        <v>1</v>
      </c>
      <c r="F63" s="15">
        <v>6.99</v>
      </c>
      <c r="G63" s="15">
        <v>6.99</v>
      </c>
      <c r="H63" s="7" t="s">
        <v>751</v>
      </c>
      <c r="I63" s="7" t="s">
        <v>694</v>
      </c>
      <c r="J63" s="7" t="s">
        <v>825</v>
      </c>
      <c r="K63" s="7" t="str">
        <f>HYPERLINK("http://slimages.macys.com/is/image/MCY/12067359 ")</f>
        <v xml:space="preserve">http://slimages.macys.com/is/image/MCY/12067359 </v>
      </c>
    </row>
    <row r="64" spans="1:12" ht="20.100000000000001" customHeight="1" x14ac:dyDescent="0.25">
      <c r="A64" s="13" t="s">
        <v>160</v>
      </c>
      <c r="B64" s="14">
        <v>13810619</v>
      </c>
      <c r="C64" s="8">
        <v>635983498980</v>
      </c>
      <c r="D64" s="6" t="s">
        <v>575</v>
      </c>
      <c r="E64" s="19">
        <v>1</v>
      </c>
      <c r="F64" s="15">
        <v>48.99</v>
      </c>
      <c r="G64" s="15">
        <v>48.99</v>
      </c>
      <c r="H64" s="7" t="s">
        <v>668</v>
      </c>
      <c r="I64" s="7" t="s">
        <v>669</v>
      </c>
      <c r="J64" s="7" t="s">
        <v>670</v>
      </c>
      <c r="K64" s="7" t="str">
        <f>HYPERLINK("http://slimages.macys.com/is/image/MCY/11798126 ")</f>
        <v xml:space="preserve">http://slimages.macys.com/is/image/MCY/11798126 </v>
      </c>
    </row>
    <row r="65" spans="1:11" ht="20.100000000000001" customHeight="1" x14ac:dyDescent="0.25">
      <c r="A65" s="13" t="s">
        <v>160</v>
      </c>
      <c r="B65" s="14">
        <v>13810619</v>
      </c>
      <c r="C65" s="8">
        <v>636202045435</v>
      </c>
      <c r="D65" s="6" t="s">
        <v>576</v>
      </c>
      <c r="E65" s="19">
        <v>1</v>
      </c>
      <c r="F65" s="15">
        <v>49.99</v>
      </c>
      <c r="G65" s="15">
        <v>49.99</v>
      </c>
      <c r="H65" s="7" t="s">
        <v>807</v>
      </c>
      <c r="I65" s="7" t="s">
        <v>694</v>
      </c>
      <c r="J65" s="7" t="s">
        <v>695</v>
      </c>
      <c r="K65" s="7" t="str">
        <f>HYPERLINK("http://slimages.macys.com/is/image/MCY/15098992 ")</f>
        <v xml:space="preserve">http://slimages.macys.com/is/image/MCY/15098992 </v>
      </c>
    </row>
    <row r="66" spans="1:11" ht="20.100000000000001" customHeight="1" x14ac:dyDescent="0.25">
      <c r="A66" s="13" t="s">
        <v>160</v>
      </c>
      <c r="B66" s="14">
        <v>13810619</v>
      </c>
      <c r="C66" s="8">
        <v>636206071324</v>
      </c>
      <c r="D66" s="6" t="s">
        <v>577</v>
      </c>
      <c r="E66" s="19">
        <v>1</v>
      </c>
      <c r="F66" s="15">
        <v>249.99</v>
      </c>
      <c r="G66" s="15">
        <v>249.99</v>
      </c>
      <c r="H66" s="7" t="s">
        <v>732</v>
      </c>
      <c r="I66" s="7" t="s">
        <v>680</v>
      </c>
      <c r="J66" s="7" t="s">
        <v>733</v>
      </c>
      <c r="K66" s="7" t="str">
        <f>HYPERLINK("http://slimages.macys.com/is/image/MCY/10467376 ")</f>
        <v xml:space="preserve">http://slimages.macys.com/is/image/MCY/10467376 </v>
      </c>
    </row>
    <row r="67" spans="1:11" ht="20.100000000000001" customHeight="1" x14ac:dyDescent="0.25">
      <c r="A67" s="13" t="s">
        <v>160</v>
      </c>
      <c r="B67" s="14">
        <v>13810619</v>
      </c>
      <c r="C67" s="8">
        <v>636206071362</v>
      </c>
      <c r="D67" s="6" t="s">
        <v>578</v>
      </c>
      <c r="E67" s="19">
        <v>1</v>
      </c>
      <c r="F67" s="15">
        <v>199</v>
      </c>
      <c r="G67" s="15">
        <v>199</v>
      </c>
      <c r="H67" s="7" t="s">
        <v>732</v>
      </c>
      <c r="I67" s="7" t="s">
        <v>680</v>
      </c>
      <c r="J67" s="7" t="s">
        <v>733</v>
      </c>
      <c r="K67" s="7" t="str">
        <f>HYPERLINK("http://slimages.macys.com/is/image/MCY/10468072 ")</f>
        <v xml:space="preserve">http://slimages.macys.com/is/image/MCY/10468072 </v>
      </c>
    </row>
    <row r="68" spans="1:11" ht="20.100000000000001" customHeight="1" x14ac:dyDescent="0.25">
      <c r="A68" s="13" t="s">
        <v>160</v>
      </c>
      <c r="B68" s="14">
        <v>13810619</v>
      </c>
      <c r="C68" s="8">
        <v>636206071379</v>
      </c>
      <c r="D68" s="6" t="s">
        <v>579</v>
      </c>
      <c r="E68" s="19">
        <v>1</v>
      </c>
      <c r="F68" s="15">
        <v>79.989999999999995</v>
      </c>
      <c r="G68" s="15">
        <v>79.989999999999995</v>
      </c>
      <c r="H68" s="7" t="s">
        <v>732</v>
      </c>
      <c r="I68" s="7" t="s">
        <v>680</v>
      </c>
      <c r="J68" s="7" t="s">
        <v>733</v>
      </c>
      <c r="K68" s="7" t="str">
        <f>HYPERLINK("http://slimages.macys.com/is/image/MCY/10468088 ")</f>
        <v xml:space="preserve">http://slimages.macys.com/is/image/MCY/10468088 </v>
      </c>
    </row>
    <row r="69" spans="1:11" ht="20.100000000000001" customHeight="1" x14ac:dyDescent="0.25">
      <c r="A69" s="13" t="s">
        <v>160</v>
      </c>
      <c r="B69" s="14">
        <v>13810619</v>
      </c>
      <c r="C69" s="8">
        <v>642472100095</v>
      </c>
      <c r="D69" s="6" t="s">
        <v>580</v>
      </c>
      <c r="E69" s="19">
        <v>1</v>
      </c>
      <c r="F69" s="15">
        <v>71.989999999999995</v>
      </c>
      <c r="G69" s="15">
        <v>71.989999999999995</v>
      </c>
      <c r="H69" s="7" t="s">
        <v>665</v>
      </c>
      <c r="I69" s="7" t="s">
        <v>674</v>
      </c>
      <c r="J69" s="7" t="s">
        <v>755</v>
      </c>
      <c r="K69" s="7" t="str">
        <f>HYPERLINK("http://slimages.macys.com/is/image/MCY/13756468 ")</f>
        <v xml:space="preserve">http://slimages.macys.com/is/image/MCY/13756468 </v>
      </c>
    </row>
    <row r="70" spans="1:11" ht="20.100000000000001" customHeight="1" x14ac:dyDescent="0.25">
      <c r="A70" s="13" t="s">
        <v>160</v>
      </c>
      <c r="B70" s="14">
        <v>13810619</v>
      </c>
      <c r="C70" s="8">
        <v>642472100095</v>
      </c>
      <c r="D70" s="6" t="s">
        <v>580</v>
      </c>
      <c r="E70" s="19">
        <v>1</v>
      </c>
      <c r="F70" s="15">
        <v>71.989999999999995</v>
      </c>
      <c r="G70" s="15">
        <v>71.989999999999995</v>
      </c>
      <c r="H70" s="7" t="s">
        <v>665</v>
      </c>
      <c r="I70" s="7" t="s">
        <v>674</v>
      </c>
      <c r="J70" s="7" t="s">
        <v>755</v>
      </c>
      <c r="K70" s="7" t="str">
        <f>HYPERLINK("http://slimages.macys.com/is/image/MCY/13756468 ")</f>
        <v xml:space="preserve">http://slimages.macys.com/is/image/MCY/13756468 </v>
      </c>
    </row>
    <row r="71" spans="1:11" ht="20.100000000000001" customHeight="1" x14ac:dyDescent="0.25">
      <c r="A71" s="13" t="s">
        <v>160</v>
      </c>
      <c r="B71" s="14">
        <v>13810619</v>
      </c>
      <c r="C71" s="8">
        <v>642472101238</v>
      </c>
      <c r="D71" s="6" t="s">
        <v>581</v>
      </c>
      <c r="E71" s="19">
        <v>1</v>
      </c>
      <c r="F71" s="15">
        <v>74.989999999999995</v>
      </c>
      <c r="G71" s="15">
        <v>74.989999999999995</v>
      </c>
      <c r="H71" s="7" t="s">
        <v>701</v>
      </c>
      <c r="I71" s="7" t="s">
        <v>674</v>
      </c>
      <c r="J71" s="7" t="s">
        <v>755</v>
      </c>
      <c r="K71" s="7" t="str">
        <f>HYPERLINK("http://slimages.macys.com/is/image/MCY/13754096 ")</f>
        <v xml:space="preserve">http://slimages.macys.com/is/image/MCY/13754096 </v>
      </c>
    </row>
    <row r="72" spans="1:11" ht="20.100000000000001" customHeight="1" x14ac:dyDescent="0.25">
      <c r="A72" s="13" t="s">
        <v>160</v>
      </c>
      <c r="B72" s="14">
        <v>13810619</v>
      </c>
      <c r="C72" s="8">
        <v>646998670278</v>
      </c>
      <c r="D72" s="6" t="s">
        <v>582</v>
      </c>
      <c r="E72" s="19">
        <v>1</v>
      </c>
      <c r="F72" s="15">
        <v>163.99</v>
      </c>
      <c r="G72" s="15">
        <v>163.99</v>
      </c>
      <c r="H72" s="7" t="s">
        <v>677</v>
      </c>
      <c r="I72" s="7" t="s">
        <v>674</v>
      </c>
      <c r="J72" s="7" t="s">
        <v>738</v>
      </c>
      <c r="K72" s="7" t="str">
        <f>HYPERLINK("http://slimages.macys.com/is/image/MCY/12294292 ")</f>
        <v xml:space="preserve">http://slimages.macys.com/is/image/MCY/12294292 </v>
      </c>
    </row>
    <row r="73" spans="1:11" ht="20.100000000000001" customHeight="1" x14ac:dyDescent="0.25">
      <c r="A73" s="13" t="s">
        <v>160</v>
      </c>
      <c r="B73" s="14">
        <v>13810619</v>
      </c>
      <c r="C73" s="8">
        <v>646998692409</v>
      </c>
      <c r="D73" s="6" t="s">
        <v>583</v>
      </c>
      <c r="E73" s="19">
        <v>1</v>
      </c>
      <c r="F73" s="15">
        <v>55.99</v>
      </c>
      <c r="G73" s="15">
        <v>55.99</v>
      </c>
      <c r="H73" s="7" t="s">
        <v>668</v>
      </c>
      <c r="I73" s="7" t="s">
        <v>674</v>
      </c>
      <c r="J73" s="7" t="s">
        <v>738</v>
      </c>
      <c r="K73" s="7" t="str">
        <f>HYPERLINK("http://slimages.macys.com/is/image/MCY/16494297 ")</f>
        <v xml:space="preserve">http://slimages.macys.com/is/image/MCY/16494297 </v>
      </c>
    </row>
    <row r="74" spans="1:11" ht="20.100000000000001" customHeight="1" x14ac:dyDescent="0.25">
      <c r="A74" s="13" t="s">
        <v>160</v>
      </c>
      <c r="B74" s="14">
        <v>13810619</v>
      </c>
      <c r="C74" s="8">
        <v>651896642821</v>
      </c>
      <c r="D74" s="6" t="s">
        <v>584</v>
      </c>
      <c r="E74" s="19">
        <v>1</v>
      </c>
      <c r="F74" s="15">
        <v>14.99</v>
      </c>
      <c r="G74" s="15">
        <v>14.99</v>
      </c>
      <c r="H74" s="7" t="s">
        <v>676</v>
      </c>
      <c r="I74" s="7" t="s">
        <v>674</v>
      </c>
      <c r="J74" s="7" t="s">
        <v>927</v>
      </c>
      <c r="K74" s="7" t="str">
        <f>HYPERLINK("http://slimages.macys.com/is/image/MCY/17620637 ")</f>
        <v xml:space="preserve">http://slimages.macys.com/is/image/MCY/17620637 </v>
      </c>
    </row>
    <row r="75" spans="1:11" ht="20.100000000000001" customHeight="1" x14ac:dyDescent="0.25">
      <c r="A75" s="13" t="s">
        <v>160</v>
      </c>
      <c r="B75" s="14">
        <v>13810619</v>
      </c>
      <c r="C75" s="8">
        <v>651896648793</v>
      </c>
      <c r="D75" s="6" t="s">
        <v>585</v>
      </c>
      <c r="E75" s="19">
        <v>1</v>
      </c>
      <c r="F75" s="15">
        <v>14.99</v>
      </c>
      <c r="G75" s="15">
        <v>14.99</v>
      </c>
      <c r="H75" s="7" t="s">
        <v>770</v>
      </c>
      <c r="I75" s="7" t="s">
        <v>674</v>
      </c>
      <c r="J75" s="7" t="s">
        <v>927</v>
      </c>
      <c r="K75" s="7" t="str">
        <f>HYPERLINK("http://slimages.macys.com/is/image/MCY/18158644 ")</f>
        <v xml:space="preserve">http://slimages.macys.com/is/image/MCY/18158644 </v>
      </c>
    </row>
    <row r="76" spans="1:11" ht="20.100000000000001" customHeight="1" x14ac:dyDescent="0.25">
      <c r="A76" s="13" t="s">
        <v>160</v>
      </c>
      <c r="B76" s="14">
        <v>13810619</v>
      </c>
      <c r="C76" s="8">
        <v>651896649264</v>
      </c>
      <c r="D76" s="6" t="s">
        <v>586</v>
      </c>
      <c r="E76" s="19">
        <v>1</v>
      </c>
      <c r="F76" s="15">
        <v>19.989999999999998</v>
      </c>
      <c r="G76" s="15">
        <v>19.989999999999998</v>
      </c>
      <c r="H76" s="7" t="s">
        <v>671</v>
      </c>
      <c r="I76" s="7" t="s">
        <v>674</v>
      </c>
      <c r="J76" s="7" t="s">
        <v>927</v>
      </c>
      <c r="K76" s="7" t="str">
        <f>HYPERLINK("http://slimages.macys.com/is/image/MCY/18158640 ")</f>
        <v xml:space="preserve">http://slimages.macys.com/is/image/MCY/18158640 </v>
      </c>
    </row>
    <row r="77" spans="1:11" ht="20.100000000000001" customHeight="1" x14ac:dyDescent="0.25">
      <c r="A77" s="13" t="s">
        <v>160</v>
      </c>
      <c r="B77" s="14">
        <v>13810619</v>
      </c>
      <c r="C77" s="8">
        <v>651896651007</v>
      </c>
      <c r="D77" s="6" t="s">
        <v>587</v>
      </c>
      <c r="E77" s="19">
        <v>1</v>
      </c>
      <c r="F77" s="15">
        <v>9.99</v>
      </c>
      <c r="G77" s="15">
        <v>9.99</v>
      </c>
      <c r="H77" s="7" t="s">
        <v>717</v>
      </c>
      <c r="I77" s="7" t="s">
        <v>674</v>
      </c>
      <c r="J77" s="7" t="s">
        <v>927</v>
      </c>
      <c r="K77" s="7" t="str">
        <f>HYPERLINK("http://slimages.macys.com/is/image/MCY/18614219 ")</f>
        <v xml:space="preserve">http://slimages.macys.com/is/image/MCY/18614219 </v>
      </c>
    </row>
    <row r="78" spans="1:11" ht="20.100000000000001" customHeight="1" x14ac:dyDescent="0.25">
      <c r="A78" s="13" t="s">
        <v>160</v>
      </c>
      <c r="B78" s="14">
        <v>13810619</v>
      </c>
      <c r="C78" s="8">
        <v>651896652158</v>
      </c>
      <c r="D78" s="6" t="s">
        <v>930</v>
      </c>
      <c r="E78" s="19">
        <v>1</v>
      </c>
      <c r="F78" s="15">
        <v>19.989999999999998</v>
      </c>
      <c r="G78" s="15">
        <v>19.989999999999998</v>
      </c>
      <c r="H78" s="7" t="s">
        <v>676</v>
      </c>
      <c r="I78" s="7" t="s">
        <v>674</v>
      </c>
      <c r="J78" s="7" t="s">
        <v>927</v>
      </c>
      <c r="K78" s="7" t="str">
        <f>HYPERLINK("http://slimages.macys.com/is/image/MCY/18772650 ")</f>
        <v xml:space="preserve">http://slimages.macys.com/is/image/MCY/18772650 </v>
      </c>
    </row>
    <row r="79" spans="1:11" ht="20.100000000000001" customHeight="1" x14ac:dyDescent="0.25">
      <c r="A79" s="13" t="s">
        <v>160</v>
      </c>
      <c r="B79" s="14">
        <v>13810619</v>
      </c>
      <c r="C79" s="8">
        <v>655385222549</v>
      </c>
      <c r="D79" s="6" t="s">
        <v>588</v>
      </c>
      <c r="E79" s="19">
        <v>1</v>
      </c>
      <c r="F79" s="15">
        <v>17.989999999999998</v>
      </c>
      <c r="G79" s="15">
        <v>17.989999999999998</v>
      </c>
      <c r="H79" s="7" t="s">
        <v>770</v>
      </c>
      <c r="I79" s="7" t="s">
        <v>666</v>
      </c>
      <c r="J79" s="7" t="s">
        <v>687</v>
      </c>
      <c r="K79" s="7" t="str">
        <f>HYPERLINK("http://slimages.macys.com/is/image/MCY/12157393 ")</f>
        <v xml:space="preserve">http://slimages.macys.com/is/image/MCY/12157393 </v>
      </c>
    </row>
    <row r="80" spans="1:11" ht="20.100000000000001" customHeight="1" x14ac:dyDescent="0.25">
      <c r="A80" s="13" t="s">
        <v>160</v>
      </c>
      <c r="B80" s="14">
        <v>13810619</v>
      </c>
      <c r="C80" s="8">
        <v>671826908483</v>
      </c>
      <c r="D80" s="6" t="s">
        <v>589</v>
      </c>
      <c r="E80" s="19">
        <v>3</v>
      </c>
      <c r="F80" s="15">
        <v>30.99</v>
      </c>
      <c r="G80" s="15">
        <v>92.97</v>
      </c>
      <c r="H80" s="7" t="s">
        <v>775</v>
      </c>
      <c r="I80" s="7" t="s">
        <v>674</v>
      </c>
      <c r="J80" s="7" t="s">
        <v>819</v>
      </c>
      <c r="K80" s="7" t="str">
        <f>HYPERLINK("http://slimages.macys.com/is/image/MCY/12471147 ")</f>
        <v xml:space="preserve">http://slimages.macys.com/is/image/MCY/12471147 </v>
      </c>
    </row>
    <row r="81" spans="1:11" ht="20.100000000000001" customHeight="1" x14ac:dyDescent="0.25">
      <c r="A81" s="13" t="s">
        <v>160</v>
      </c>
      <c r="B81" s="14">
        <v>13810619</v>
      </c>
      <c r="C81" s="8">
        <v>671826908490</v>
      </c>
      <c r="D81" s="6" t="s">
        <v>589</v>
      </c>
      <c r="E81" s="19">
        <v>2</v>
      </c>
      <c r="F81" s="15">
        <v>37.99</v>
      </c>
      <c r="G81" s="15">
        <v>75.98</v>
      </c>
      <c r="H81" s="7" t="s">
        <v>775</v>
      </c>
      <c r="I81" s="7" t="s">
        <v>674</v>
      </c>
      <c r="J81" s="7" t="s">
        <v>819</v>
      </c>
      <c r="K81" s="7" t="str">
        <f>HYPERLINK("http://slimages.macys.com/is/image/MCY/12471148 ")</f>
        <v xml:space="preserve">http://slimages.macys.com/is/image/MCY/12471148 </v>
      </c>
    </row>
    <row r="82" spans="1:11" ht="20.100000000000001" customHeight="1" x14ac:dyDescent="0.25">
      <c r="A82" s="13" t="s">
        <v>160</v>
      </c>
      <c r="B82" s="14">
        <v>13810619</v>
      </c>
      <c r="C82" s="8">
        <v>671826989710</v>
      </c>
      <c r="D82" s="6" t="s">
        <v>590</v>
      </c>
      <c r="E82" s="19">
        <v>1</v>
      </c>
      <c r="F82" s="15">
        <v>41.99</v>
      </c>
      <c r="G82" s="15">
        <v>41.99</v>
      </c>
      <c r="H82" s="7" t="s">
        <v>701</v>
      </c>
      <c r="I82" s="7" t="s">
        <v>674</v>
      </c>
      <c r="J82" s="7" t="s">
        <v>819</v>
      </c>
      <c r="K82" s="7" t="str">
        <f>HYPERLINK("http://slimages.macys.com/is/image/MCY/12473437 ")</f>
        <v xml:space="preserve">http://slimages.macys.com/is/image/MCY/12473437 </v>
      </c>
    </row>
    <row r="83" spans="1:11" ht="20.100000000000001" customHeight="1" x14ac:dyDescent="0.25">
      <c r="A83" s="13" t="s">
        <v>160</v>
      </c>
      <c r="B83" s="14">
        <v>13810619</v>
      </c>
      <c r="C83" s="8">
        <v>675716558727</v>
      </c>
      <c r="D83" s="6" t="s">
        <v>591</v>
      </c>
      <c r="E83" s="19">
        <v>1</v>
      </c>
      <c r="F83" s="15">
        <v>34.99</v>
      </c>
      <c r="G83" s="15">
        <v>34.99</v>
      </c>
      <c r="H83" s="7" t="s">
        <v>676</v>
      </c>
      <c r="I83" s="7" t="s">
        <v>666</v>
      </c>
      <c r="J83" s="7" t="s">
        <v>756</v>
      </c>
      <c r="K83" s="7" t="str">
        <f>HYPERLINK("http://slimages.macys.com/is/image/MCY/15710276 ")</f>
        <v xml:space="preserve">http://slimages.macys.com/is/image/MCY/15710276 </v>
      </c>
    </row>
    <row r="84" spans="1:11" ht="20.100000000000001" customHeight="1" x14ac:dyDescent="0.25">
      <c r="A84" s="13" t="s">
        <v>160</v>
      </c>
      <c r="B84" s="14">
        <v>13810619</v>
      </c>
      <c r="C84" s="8">
        <v>675716905040</v>
      </c>
      <c r="D84" s="6" t="s">
        <v>592</v>
      </c>
      <c r="E84" s="19">
        <v>1</v>
      </c>
      <c r="F84" s="15">
        <v>139.99</v>
      </c>
      <c r="G84" s="15">
        <v>139.99</v>
      </c>
      <c r="H84" s="7" t="s">
        <v>784</v>
      </c>
      <c r="I84" s="7" t="s">
        <v>672</v>
      </c>
      <c r="J84" s="7" t="s">
        <v>679</v>
      </c>
      <c r="K84" s="7" t="str">
        <f>HYPERLINK("http://slimages.macys.com/is/image/MCY/8936712 ")</f>
        <v xml:space="preserve">http://slimages.macys.com/is/image/MCY/8936712 </v>
      </c>
    </row>
    <row r="85" spans="1:11" ht="20.100000000000001" customHeight="1" x14ac:dyDescent="0.25">
      <c r="A85" s="13" t="s">
        <v>160</v>
      </c>
      <c r="B85" s="14">
        <v>13810619</v>
      </c>
      <c r="C85" s="8">
        <v>675716986384</v>
      </c>
      <c r="D85" s="6" t="s">
        <v>593</v>
      </c>
      <c r="E85" s="19">
        <v>1</v>
      </c>
      <c r="F85" s="15">
        <v>106.99</v>
      </c>
      <c r="G85" s="15">
        <v>106.99</v>
      </c>
      <c r="H85" s="7"/>
      <c r="I85" s="7" t="s">
        <v>674</v>
      </c>
      <c r="J85" s="7" t="s">
        <v>679</v>
      </c>
      <c r="K85" s="7" t="str">
        <f>HYPERLINK("http://slimages.macys.com/is/image/MCY/9775060 ")</f>
        <v xml:space="preserve">http://slimages.macys.com/is/image/MCY/9775060 </v>
      </c>
    </row>
    <row r="86" spans="1:11" ht="20.100000000000001" customHeight="1" x14ac:dyDescent="0.25">
      <c r="A86" s="13" t="s">
        <v>160</v>
      </c>
      <c r="B86" s="14">
        <v>13810619</v>
      </c>
      <c r="C86" s="8">
        <v>679610813944</v>
      </c>
      <c r="D86" s="6" t="s">
        <v>594</v>
      </c>
      <c r="E86" s="19">
        <v>2</v>
      </c>
      <c r="F86" s="15">
        <v>179.99</v>
      </c>
      <c r="G86" s="15">
        <v>359.98</v>
      </c>
      <c r="H86" s="7" t="s">
        <v>773</v>
      </c>
      <c r="I86" s="7" t="s">
        <v>672</v>
      </c>
      <c r="J86" s="7" t="s">
        <v>774</v>
      </c>
      <c r="K86" s="7" t="str">
        <f>HYPERLINK("http://slimages.macys.com/is/image/MCY/14789644 ")</f>
        <v xml:space="preserve">http://slimages.macys.com/is/image/MCY/14789644 </v>
      </c>
    </row>
    <row r="87" spans="1:11" ht="20.100000000000001" customHeight="1" x14ac:dyDescent="0.25">
      <c r="A87" s="13" t="s">
        <v>160</v>
      </c>
      <c r="B87" s="14">
        <v>13810619</v>
      </c>
      <c r="C87" s="8">
        <v>679610834550</v>
      </c>
      <c r="D87" s="6" t="s">
        <v>595</v>
      </c>
      <c r="E87" s="19">
        <v>1</v>
      </c>
      <c r="F87" s="15">
        <v>179.99</v>
      </c>
      <c r="G87" s="15">
        <v>179.99</v>
      </c>
      <c r="H87" s="7" t="s">
        <v>807</v>
      </c>
      <c r="I87" s="7" t="s">
        <v>672</v>
      </c>
      <c r="J87" s="7" t="s">
        <v>774</v>
      </c>
      <c r="K87" s="7" t="str">
        <f>HYPERLINK("http://slimages.macys.com/is/image/MCY/18729817 ")</f>
        <v xml:space="preserve">http://slimages.macys.com/is/image/MCY/18729817 </v>
      </c>
    </row>
    <row r="88" spans="1:11" ht="20.100000000000001" customHeight="1" x14ac:dyDescent="0.25">
      <c r="A88" s="13" t="s">
        <v>160</v>
      </c>
      <c r="B88" s="14">
        <v>13810619</v>
      </c>
      <c r="C88" s="8">
        <v>680656162958</v>
      </c>
      <c r="D88" s="6" t="s">
        <v>596</v>
      </c>
      <c r="E88" s="19">
        <v>1</v>
      </c>
      <c r="F88" s="15">
        <v>30.99</v>
      </c>
      <c r="G88" s="15">
        <v>30.99</v>
      </c>
      <c r="H88" s="7" t="s">
        <v>665</v>
      </c>
      <c r="I88" s="7" t="s">
        <v>674</v>
      </c>
      <c r="J88" s="7" t="s">
        <v>138</v>
      </c>
      <c r="K88" s="7" t="str">
        <f>HYPERLINK("http://slimages.macys.com/is/image/MCY/11461574 ")</f>
        <v xml:space="preserve">http://slimages.macys.com/is/image/MCY/11461574 </v>
      </c>
    </row>
    <row r="89" spans="1:11" ht="20.100000000000001" customHeight="1" x14ac:dyDescent="0.25">
      <c r="A89" s="13" t="s">
        <v>160</v>
      </c>
      <c r="B89" s="14">
        <v>13810619</v>
      </c>
      <c r="C89" s="8">
        <v>680656163283</v>
      </c>
      <c r="D89" s="6" t="s">
        <v>597</v>
      </c>
      <c r="E89" s="19">
        <v>2</v>
      </c>
      <c r="F89" s="15">
        <v>16.989999999999998</v>
      </c>
      <c r="G89" s="15">
        <v>33.979999999999997</v>
      </c>
      <c r="H89" s="7" t="s">
        <v>701</v>
      </c>
      <c r="I89" s="7" t="s">
        <v>674</v>
      </c>
      <c r="J89" s="7" t="s">
        <v>138</v>
      </c>
      <c r="K89" s="7" t="str">
        <f>HYPERLINK("http://slimages.macys.com/is/image/MCY/11461598 ")</f>
        <v xml:space="preserve">http://slimages.macys.com/is/image/MCY/11461598 </v>
      </c>
    </row>
    <row r="90" spans="1:11" ht="20.100000000000001" customHeight="1" x14ac:dyDescent="0.25">
      <c r="A90" s="13" t="s">
        <v>160</v>
      </c>
      <c r="B90" s="14">
        <v>13810619</v>
      </c>
      <c r="C90" s="8">
        <v>680656165614</v>
      </c>
      <c r="D90" s="6" t="s">
        <v>598</v>
      </c>
      <c r="E90" s="19">
        <v>1</v>
      </c>
      <c r="F90" s="15">
        <v>28.99</v>
      </c>
      <c r="G90" s="15">
        <v>28.99</v>
      </c>
      <c r="H90" s="7" t="s">
        <v>775</v>
      </c>
      <c r="I90" s="7" t="s">
        <v>674</v>
      </c>
      <c r="J90" s="7" t="s">
        <v>138</v>
      </c>
      <c r="K90" s="7" t="str">
        <f>HYPERLINK("http://slimages.macys.com/is/image/MCY/16547167 ")</f>
        <v xml:space="preserve">http://slimages.macys.com/is/image/MCY/16547167 </v>
      </c>
    </row>
    <row r="91" spans="1:11" ht="20.100000000000001" customHeight="1" x14ac:dyDescent="0.25">
      <c r="A91" s="13" t="s">
        <v>160</v>
      </c>
      <c r="B91" s="14">
        <v>13810619</v>
      </c>
      <c r="C91" s="8">
        <v>681827992701</v>
      </c>
      <c r="D91" s="6" t="s">
        <v>599</v>
      </c>
      <c r="E91" s="19">
        <v>1</v>
      </c>
      <c r="F91" s="15">
        <v>69.989999999999995</v>
      </c>
      <c r="G91" s="15">
        <v>69.989999999999995</v>
      </c>
      <c r="H91" s="7" t="s">
        <v>665</v>
      </c>
      <c r="I91" s="7" t="s">
        <v>736</v>
      </c>
      <c r="J91" s="7" t="s">
        <v>900</v>
      </c>
      <c r="K91" s="7" t="str">
        <f>HYPERLINK("http://slimages.macys.com/is/image/MCY/18515438 ")</f>
        <v xml:space="preserve">http://slimages.macys.com/is/image/MCY/18515438 </v>
      </c>
    </row>
    <row r="92" spans="1:11" ht="20.100000000000001" customHeight="1" x14ac:dyDescent="0.25">
      <c r="A92" s="13" t="s">
        <v>160</v>
      </c>
      <c r="B92" s="14">
        <v>13810619</v>
      </c>
      <c r="C92" s="8">
        <v>689192617212</v>
      </c>
      <c r="D92" s="6" t="s">
        <v>600</v>
      </c>
      <c r="E92" s="19">
        <v>1</v>
      </c>
      <c r="F92" s="15">
        <v>97.99</v>
      </c>
      <c r="G92" s="15">
        <v>97.99</v>
      </c>
      <c r="H92" s="7" t="s">
        <v>773</v>
      </c>
      <c r="I92" s="7" t="s">
        <v>684</v>
      </c>
      <c r="J92" s="7" t="s">
        <v>670</v>
      </c>
      <c r="K92" s="7" t="str">
        <f>HYPERLINK("http://slimages.macys.com/is/image/MCY/11798638 ")</f>
        <v xml:space="preserve">http://slimages.macys.com/is/image/MCY/11798638 </v>
      </c>
    </row>
    <row r="93" spans="1:11" ht="20.100000000000001" customHeight="1" x14ac:dyDescent="0.25">
      <c r="A93" s="13" t="s">
        <v>160</v>
      </c>
      <c r="B93" s="14">
        <v>13810619</v>
      </c>
      <c r="C93" s="8">
        <v>693614011434</v>
      </c>
      <c r="D93" s="6" t="s">
        <v>601</v>
      </c>
      <c r="E93" s="19">
        <v>1</v>
      </c>
      <c r="F93" s="15">
        <v>35.99</v>
      </c>
      <c r="G93" s="15">
        <v>35.99</v>
      </c>
      <c r="H93" s="7" t="s">
        <v>668</v>
      </c>
      <c r="I93" s="7" t="s">
        <v>669</v>
      </c>
      <c r="J93" s="7" t="s">
        <v>670</v>
      </c>
      <c r="K93" s="7" t="str">
        <f>HYPERLINK("http://slimages.macys.com/is/image/MCY/11798695 ")</f>
        <v xml:space="preserve">http://slimages.macys.com/is/image/MCY/11798695 </v>
      </c>
    </row>
    <row r="94" spans="1:11" ht="20.100000000000001" customHeight="1" x14ac:dyDescent="0.25">
      <c r="A94" s="13" t="s">
        <v>160</v>
      </c>
      <c r="B94" s="14">
        <v>13810619</v>
      </c>
      <c r="C94" s="8">
        <v>693614011502</v>
      </c>
      <c r="D94" s="6" t="s">
        <v>602</v>
      </c>
      <c r="E94" s="19">
        <v>1</v>
      </c>
      <c r="F94" s="15">
        <v>37.99</v>
      </c>
      <c r="G94" s="15">
        <v>37.99</v>
      </c>
      <c r="H94" s="7" t="s">
        <v>668</v>
      </c>
      <c r="I94" s="7" t="s">
        <v>669</v>
      </c>
      <c r="J94" s="7" t="s">
        <v>670</v>
      </c>
      <c r="K94" s="7" t="str">
        <f>HYPERLINK("http://slimages.macys.com/is/image/MCY/11798731 ")</f>
        <v xml:space="preserve">http://slimages.macys.com/is/image/MCY/11798731 </v>
      </c>
    </row>
    <row r="95" spans="1:11" ht="20.100000000000001" customHeight="1" x14ac:dyDescent="0.25">
      <c r="A95" s="13" t="s">
        <v>160</v>
      </c>
      <c r="B95" s="14">
        <v>13810619</v>
      </c>
      <c r="C95" s="8">
        <v>696445053376</v>
      </c>
      <c r="D95" s="6" t="s">
        <v>603</v>
      </c>
      <c r="E95" s="19">
        <v>1</v>
      </c>
      <c r="F95" s="15">
        <v>54.99</v>
      </c>
      <c r="G95" s="15">
        <v>54.99</v>
      </c>
      <c r="H95" s="7" t="s">
        <v>668</v>
      </c>
      <c r="I95" s="7" t="s">
        <v>682</v>
      </c>
      <c r="J95" s="7" t="s">
        <v>862</v>
      </c>
      <c r="K95" s="7" t="str">
        <f>HYPERLINK("http://slimages.macys.com/is/image/MCY/10487518 ")</f>
        <v xml:space="preserve">http://slimages.macys.com/is/image/MCY/10487518 </v>
      </c>
    </row>
    <row r="96" spans="1:11" ht="20.100000000000001" customHeight="1" x14ac:dyDescent="0.25">
      <c r="A96" s="13" t="s">
        <v>160</v>
      </c>
      <c r="B96" s="14">
        <v>13810619</v>
      </c>
      <c r="C96" s="8">
        <v>706254462945</v>
      </c>
      <c r="D96" s="6" t="s">
        <v>257</v>
      </c>
      <c r="E96" s="19">
        <v>1</v>
      </c>
      <c r="F96" s="15">
        <v>16.989999999999998</v>
      </c>
      <c r="G96" s="15">
        <v>16.989999999999998</v>
      </c>
      <c r="H96" s="7" t="s">
        <v>668</v>
      </c>
      <c r="I96" s="7" t="s">
        <v>694</v>
      </c>
      <c r="J96" s="7" t="s">
        <v>695</v>
      </c>
      <c r="K96" s="7" t="str">
        <f>HYPERLINK("http://slimages.macys.com/is/image/MCY/12737864 ")</f>
        <v xml:space="preserve">http://slimages.macys.com/is/image/MCY/12737864 </v>
      </c>
    </row>
    <row r="97" spans="1:11" ht="20.100000000000001" customHeight="1" x14ac:dyDescent="0.25">
      <c r="A97" s="13" t="s">
        <v>160</v>
      </c>
      <c r="B97" s="14">
        <v>13810619</v>
      </c>
      <c r="C97" s="8">
        <v>706254462945</v>
      </c>
      <c r="D97" s="6" t="s">
        <v>257</v>
      </c>
      <c r="E97" s="19">
        <v>1</v>
      </c>
      <c r="F97" s="15">
        <v>16.989999999999998</v>
      </c>
      <c r="G97" s="15">
        <v>16.989999999999998</v>
      </c>
      <c r="H97" s="7" t="s">
        <v>668</v>
      </c>
      <c r="I97" s="7" t="s">
        <v>694</v>
      </c>
      <c r="J97" s="7" t="s">
        <v>695</v>
      </c>
      <c r="K97" s="7" t="str">
        <f>HYPERLINK("http://slimages.macys.com/is/image/MCY/12737864 ")</f>
        <v xml:space="preserve">http://slimages.macys.com/is/image/MCY/12737864 </v>
      </c>
    </row>
    <row r="98" spans="1:11" ht="20.100000000000001" customHeight="1" x14ac:dyDescent="0.25">
      <c r="A98" s="13" t="s">
        <v>160</v>
      </c>
      <c r="B98" s="14">
        <v>13810619</v>
      </c>
      <c r="C98" s="8">
        <v>706254616591</v>
      </c>
      <c r="D98" s="6" t="s">
        <v>604</v>
      </c>
      <c r="E98" s="19">
        <v>1</v>
      </c>
      <c r="F98" s="15">
        <v>13.99</v>
      </c>
      <c r="G98" s="15">
        <v>13.99</v>
      </c>
      <c r="H98" s="7" t="s">
        <v>676</v>
      </c>
      <c r="I98" s="7" t="s">
        <v>694</v>
      </c>
      <c r="J98" s="7" t="s">
        <v>695</v>
      </c>
      <c r="K98" s="7" t="str">
        <f>HYPERLINK("http://slimages.macys.com/is/image/MCY/3272675 ")</f>
        <v xml:space="preserve">http://slimages.macys.com/is/image/MCY/3272675 </v>
      </c>
    </row>
    <row r="99" spans="1:11" ht="20.100000000000001" customHeight="1" x14ac:dyDescent="0.25">
      <c r="A99" s="13" t="s">
        <v>160</v>
      </c>
      <c r="B99" s="14">
        <v>13810619</v>
      </c>
      <c r="C99" s="8">
        <v>706254838870</v>
      </c>
      <c r="D99" s="6" t="s">
        <v>605</v>
      </c>
      <c r="E99" s="19">
        <v>1</v>
      </c>
      <c r="F99" s="15">
        <v>99.99</v>
      </c>
      <c r="G99" s="15">
        <v>99.99</v>
      </c>
      <c r="H99" s="7" t="s">
        <v>668</v>
      </c>
      <c r="I99" s="7" t="s">
        <v>741</v>
      </c>
      <c r="J99" s="7" t="s">
        <v>932</v>
      </c>
      <c r="K99" s="7" t="str">
        <f>HYPERLINK("http://slimages.macys.com/is/image/MCY/11640418 ")</f>
        <v xml:space="preserve">http://slimages.macys.com/is/image/MCY/11640418 </v>
      </c>
    </row>
    <row r="100" spans="1:11" ht="20.100000000000001" customHeight="1" x14ac:dyDescent="0.25">
      <c r="A100" s="13" t="s">
        <v>160</v>
      </c>
      <c r="B100" s="14">
        <v>13810619</v>
      </c>
      <c r="C100" s="8">
        <v>706254838887</v>
      </c>
      <c r="D100" s="6" t="s">
        <v>606</v>
      </c>
      <c r="E100" s="19">
        <v>1</v>
      </c>
      <c r="F100" s="15">
        <v>119.99</v>
      </c>
      <c r="G100" s="15">
        <v>119.99</v>
      </c>
      <c r="H100" s="7" t="s">
        <v>668</v>
      </c>
      <c r="I100" s="7" t="s">
        <v>741</v>
      </c>
      <c r="J100" s="7" t="s">
        <v>932</v>
      </c>
      <c r="K100" s="7" t="str">
        <f>HYPERLINK("http://slimages.macys.com/is/image/MCY/11640418 ")</f>
        <v xml:space="preserve">http://slimages.macys.com/is/image/MCY/11640418 </v>
      </c>
    </row>
    <row r="101" spans="1:11" ht="20.100000000000001" customHeight="1" x14ac:dyDescent="0.25">
      <c r="A101" s="13" t="s">
        <v>160</v>
      </c>
      <c r="B101" s="14">
        <v>13810619</v>
      </c>
      <c r="C101" s="8">
        <v>706257204658</v>
      </c>
      <c r="D101" s="6" t="s">
        <v>607</v>
      </c>
      <c r="E101" s="19">
        <v>1</v>
      </c>
      <c r="F101" s="15">
        <v>79.989999999999995</v>
      </c>
      <c r="G101" s="15">
        <v>79.989999999999995</v>
      </c>
      <c r="H101" s="7" t="s">
        <v>668</v>
      </c>
      <c r="I101" s="7" t="s">
        <v>680</v>
      </c>
      <c r="J101" s="7" t="s">
        <v>747</v>
      </c>
      <c r="K101" s="7" t="str">
        <f>HYPERLINK("http://slimages.macys.com/is/image/MCY/8179498 ")</f>
        <v xml:space="preserve">http://slimages.macys.com/is/image/MCY/8179498 </v>
      </c>
    </row>
    <row r="102" spans="1:11" ht="20.100000000000001" customHeight="1" x14ac:dyDescent="0.25">
      <c r="A102" s="13" t="s">
        <v>160</v>
      </c>
      <c r="B102" s="14">
        <v>13810619</v>
      </c>
      <c r="C102" s="8">
        <v>706257404355</v>
      </c>
      <c r="D102" s="6" t="s">
        <v>608</v>
      </c>
      <c r="E102" s="19">
        <v>1</v>
      </c>
      <c r="F102" s="15">
        <v>139.99</v>
      </c>
      <c r="G102" s="15">
        <v>139.99</v>
      </c>
      <c r="H102" s="7" t="s">
        <v>668</v>
      </c>
      <c r="I102" s="7" t="s">
        <v>680</v>
      </c>
      <c r="J102" s="7" t="s">
        <v>747</v>
      </c>
      <c r="K102" s="7" t="str">
        <f>HYPERLINK("http://slimages.macys.com/is/image/MCY/8182285 ")</f>
        <v xml:space="preserve">http://slimages.macys.com/is/image/MCY/8182285 </v>
      </c>
    </row>
    <row r="103" spans="1:11" ht="20.100000000000001" customHeight="1" x14ac:dyDescent="0.25">
      <c r="A103" s="13" t="s">
        <v>160</v>
      </c>
      <c r="B103" s="14">
        <v>13810619</v>
      </c>
      <c r="C103" s="8">
        <v>706257404379</v>
      </c>
      <c r="D103" s="6" t="s">
        <v>609</v>
      </c>
      <c r="E103" s="19">
        <v>1</v>
      </c>
      <c r="F103" s="15">
        <v>74.989999999999995</v>
      </c>
      <c r="G103" s="15">
        <v>74.989999999999995</v>
      </c>
      <c r="H103" s="7" t="s">
        <v>668</v>
      </c>
      <c r="I103" s="7" t="s">
        <v>680</v>
      </c>
      <c r="J103" s="7" t="s">
        <v>747</v>
      </c>
      <c r="K103" s="7" t="str">
        <f>HYPERLINK("http://slimages.macys.com/is/image/MCY/8182285 ")</f>
        <v xml:space="preserve">http://slimages.macys.com/is/image/MCY/8182285 </v>
      </c>
    </row>
    <row r="104" spans="1:11" ht="20.100000000000001" customHeight="1" x14ac:dyDescent="0.25">
      <c r="A104" s="13" t="s">
        <v>160</v>
      </c>
      <c r="B104" s="14">
        <v>13810619</v>
      </c>
      <c r="C104" s="8">
        <v>706257404409</v>
      </c>
      <c r="D104" s="6" t="s">
        <v>610</v>
      </c>
      <c r="E104" s="19">
        <v>1</v>
      </c>
      <c r="F104" s="15">
        <v>164.99</v>
      </c>
      <c r="G104" s="15">
        <v>164.99</v>
      </c>
      <c r="H104" s="7" t="s">
        <v>668</v>
      </c>
      <c r="I104" s="7" t="s">
        <v>680</v>
      </c>
      <c r="J104" s="7" t="s">
        <v>747</v>
      </c>
      <c r="K104" s="7" t="str">
        <f>HYPERLINK("http://slimages.macys.com/is/image/MCY/8182285 ")</f>
        <v xml:space="preserve">http://slimages.macys.com/is/image/MCY/8182285 </v>
      </c>
    </row>
    <row r="105" spans="1:11" ht="20.100000000000001" customHeight="1" x14ac:dyDescent="0.25">
      <c r="A105" s="13" t="s">
        <v>160</v>
      </c>
      <c r="B105" s="14">
        <v>13810619</v>
      </c>
      <c r="C105" s="8">
        <v>706257998199</v>
      </c>
      <c r="D105" s="6" t="s">
        <v>611</v>
      </c>
      <c r="E105" s="19">
        <v>2</v>
      </c>
      <c r="F105" s="15">
        <v>89.99</v>
      </c>
      <c r="G105" s="15">
        <v>179.98</v>
      </c>
      <c r="H105" s="7" t="s">
        <v>754</v>
      </c>
      <c r="I105" s="7" t="s">
        <v>680</v>
      </c>
      <c r="J105" s="7" t="s">
        <v>733</v>
      </c>
      <c r="K105" s="7" t="str">
        <f>HYPERLINK("http://slimages.macys.com/is/image/MCY/8453087 ")</f>
        <v xml:space="preserve">http://slimages.macys.com/is/image/MCY/8453087 </v>
      </c>
    </row>
    <row r="106" spans="1:11" ht="20.100000000000001" customHeight="1" x14ac:dyDescent="0.25">
      <c r="A106" s="13" t="s">
        <v>160</v>
      </c>
      <c r="B106" s="14">
        <v>13810619</v>
      </c>
      <c r="C106" s="8">
        <v>706258049890</v>
      </c>
      <c r="D106" s="6" t="s">
        <v>612</v>
      </c>
      <c r="E106" s="19">
        <v>1</v>
      </c>
      <c r="F106" s="15">
        <v>99.99</v>
      </c>
      <c r="G106" s="15">
        <v>99.99</v>
      </c>
      <c r="H106" s="7" t="s">
        <v>732</v>
      </c>
      <c r="I106" s="7" t="s">
        <v>692</v>
      </c>
      <c r="J106" s="7" t="s">
        <v>693</v>
      </c>
      <c r="K106" s="7" t="str">
        <f>HYPERLINK("http://slimages.macys.com/is/image/MCY/8433239 ")</f>
        <v xml:space="preserve">http://slimages.macys.com/is/image/MCY/8433239 </v>
      </c>
    </row>
    <row r="107" spans="1:11" ht="20.100000000000001" customHeight="1" x14ac:dyDescent="0.25">
      <c r="A107" s="13" t="s">
        <v>160</v>
      </c>
      <c r="B107" s="14">
        <v>13810619</v>
      </c>
      <c r="C107" s="8">
        <v>706258050568</v>
      </c>
      <c r="D107" s="6" t="s">
        <v>734</v>
      </c>
      <c r="E107" s="19">
        <v>1</v>
      </c>
      <c r="F107" s="15">
        <v>69.989999999999995</v>
      </c>
      <c r="G107" s="15">
        <v>69.989999999999995</v>
      </c>
      <c r="H107" s="7" t="s">
        <v>668</v>
      </c>
      <c r="I107" s="7" t="s">
        <v>692</v>
      </c>
      <c r="J107" s="7" t="s">
        <v>693</v>
      </c>
      <c r="K107" s="7" t="str">
        <f>HYPERLINK("http://slimages.macys.com/is/image/MCY/11607139 ")</f>
        <v xml:space="preserve">http://slimages.macys.com/is/image/MCY/11607139 </v>
      </c>
    </row>
    <row r="108" spans="1:11" ht="20.100000000000001" customHeight="1" x14ac:dyDescent="0.25">
      <c r="A108" s="13" t="s">
        <v>160</v>
      </c>
      <c r="B108" s="14">
        <v>13810619</v>
      </c>
      <c r="C108" s="8">
        <v>706258050797</v>
      </c>
      <c r="D108" s="6" t="s">
        <v>613</v>
      </c>
      <c r="E108" s="19">
        <v>1</v>
      </c>
      <c r="F108" s="15">
        <v>99.99</v>
      </c>
      <c r="G108" s="15">
        <v>99.99</v>
      </c>
      <c r="H108" s="7" t="s">
        <v>745</v>
      </c>
      <c r="I108" s="7" t="s">
        <v>692</v>
      </c>
      <c r="J108" s="7" t="s">
        <v>693</v>
      </c>
      <c r="K108" s="7" t="str">
        <f>HYPERLINK("http://slimages.macys.com/is/image/MCY/11607139 ")</f>
        <v xml:space="preserve">http://slimages.macys.com/is/image/MCY/11607139 </v>
      </c>
    </row>
    <row r="109" spans="1:11" ht="20.100000000000001" customHeight="1" x14ac:dyDescent="0.25">
      <c r="A109" s="13" t="s">
        <v>160</v>
      </c>
      <c r="B109" s="14">
        <v>13810619</v>
      </c>
      <c r="C109" s="8">
        <v>706258051374</v>
      </c>
      <c r="D109" s="6" t="s">
        <v>1095</v>
      </c>
      <c r="E109" s="19">
        <v>1</v>
      </c>
      <c r="F109" s="15">
        <v>99.99</v>
      </c>
      <c r="G109" s="15">
        <v>99.99</v>
      </c>
      <c r="H109" s="7" t="s">
        <v>668</v>
      </c>
      <c r="I109" s="7" t="s">
        <v>692</v>
      </c>
      <c r="J109" s="7" t="s">
        <v>693</v>
      </c>
      <c r="K109" s="7" t="str">
        <f>HYPERLINK("http://slimages.macys.com/is/image/MCY/11534834 ")</f>
        <v xml:space="preserve">http://slimages.macys.com/is/image/MCY/11534834 </v>
      </c>
    </row>
    <row r="110" spans="1:11" ht="20.100000000000001" customHeight="1" x14ac:dyDescent="0.25">
      <c r="A110" s="13" t="s">
        <v>160</v>
      </c>
      <c r="B110" s="14">
        <v>13810619</v>
      </c>
      <c r="C110" s="8">
        <v>706258089063</v>
      </c>
      <c r="D110" s="6" t="s">
        <v>614</v>
      </c>
      <c r="E110" s="19">
        <v>1</v>
      </c>
      <c r="F110" s="15">
        <v>119.99</v>
      </c>
      <c r="G110" s="15">
        <v>119.99</v>
      </c>
      <c r="H110" s="7" t="s">
        <v>744</v>
      </c>
      <c r="I110" s="7" t="s">
        <v>692</v>
      </c>
      <c r="J110" s="7" t="s">
        <v>693</v>
      </c>
      <c r="K110" s="7" t="str">
        <f>HYPERLINK("http://slimages.macys.com/is/image/MCY/11607139 ")</f>
        <v xml:space="preserve">http://slimages.macys.com/is/image/MCY/11607139 </v>
      </c>
    </row>
    <row r="111" spans="1:11" ht="20.100000000000001" customHeight="1" x14ac:dyDescent="0.25">
      <c r="A111" s="13" t="s">
        <v>160</v>
      </c>
      <c r="B111" s="14">
        <v>13810619</v>
      </c>
      <c r="C111" s="8">
        <v>706258089810</v>
      </c>
      <c r="D111" s="6" t="s">
        <v>615</v>
      </c>
      <c r="E111" s="19">
        <v>1</v>
      </c>
      <c r="F111" s="15">
        <v>119.99</v>
      </c>
      <c r="G111" s="15">
        <v>119.99</v>
      </c>
      <c r="H111" s="7" t="s">
        <v>698</v>
      </c>
      <c r="I111" s="7" t="s">
        <v>692</v>
      </c>
      <c r="J111" s="7" t="s">
        <v>693</v>
      </c>
      <c r="K111" s="7" t="str">
        <f>HYPERLINK("http://slimages.macys.com/is/image/MCY/8433239 ")</f>
        <v xml:space="preserve">http://slimages.macys.com/is/image/MCY/8433239 </v>
      </c>
    </row>
    <row r="112" spans="1:11" ht="20.100000000000001" customHeight="1" x14ac:dyDescent="0.25">
      <c r="A112" s="13" t="s">
        <v>160</v>
      </c>
      <c r="B112" s="14">
        <v>13810619</v>
      </c>
      <c r="C112" s="8">
        <v>706258090205</v>
      </c>
      <c r="D112" s="6" t="s">
        <v>616</v>
      </c>
      <c r="E112" s="19">
        <v>1</v>
      </c>
      <c r="F112" s="15">
        <v>99.99</v>
      </c>
      <c r="G112" s="15">
        <v>99.99</v>
      </c>
      <c r="H112" s="7" t="s">
        <v>668</v>
      </c>
      <c r="I112" s="7" t="s">
        <v>692</v>
      </c>
      <c r="J112" s="7" t="s">
        <v>693</v>
      </c>
      <c r="K112" s="7" t="str">
        <f>HYPERLINK("http://slimages.macys.com/is/image/MCY/8433239 ")</f>
        <v xml:space="preserve">http://slimages.macys.com/is/image/MCY/8433239 </v>
      </c>
    </row>
    <row r="113" spans="1:11" ht="20.100000000000001" customHeight="1" x14ac:dyDescent="0.25">
      <c r="A113" s="13" t="s">
        <v>160</v>
      </c>
      <c r="B113" s="14">
        <v>13810619</v>
      </c>
      <c r="C113" s="8">
        <v>706258090205</v>
      </c>
      <c r="D113" s="6" t="s">
        <v>616</v>
      </c>
      <c r="E113" s="19">
        <v>1</v>
      </c>
      <c r="F113" s="15">
        <v>99.99</v>
      </c>
      <c r="G113" s="15">
        <v>99.99</v>
      </c>
      <c r="H113" s="7" t="s">
        <v>668</v>
      </c>
      <c r="I113" s="7" t="s">
        <v>692</v>
      </c>
      <c r="J113" s="7" t="s">
        <v>693</v>
      </c>
      <c r="K113" s="7" t="str">
        <f>HYPERLINK("http://slimages.macys.com/is/image/MCY/8433239 ")</f>
        <v xml:space="preserve">http://slimages.macys.com/is/image/MCY/8433239 </v>
      </c>
    </row>
    <row r="114" spans="1:11" ht="20.100000000000001" customHeight="1" x14ac:dyDescent="0.25">
      <c r="A114" s="13" t="s">
        <v>160</v>
      </c>
      <c r="B114" s="14">
        <v>13810619</v>
      </c>
      <c r="C114" s="8">
        <v>706258090625</v>
      </c>
      <c r="D114" s="6" t="s">
        <v>617</v>
      </c>
      <c r="E114" s="19">
        <v>2</v>
      </c>
      <c r="F114" s="15">
        <v>139.99</v>
      </c>
      <c r="G114" s="15">
        <v>279.98</v>
      </c>
      <c r="H114" s="7" t="s">
        <v>698</v>
      </c>
      <c r="I114" s="7" t="s">
        <v>692</v>
      </c>
      <c r="J114" s="7" t="s">
        <v>693</v>
      </c>
      <c r="K114" s="7" t="str">
        <f>HYPERLINK("http://slimages.macys.com/is/image/MCY/11607139 ")</f>
        <v xml:space="preserve">http://slimages.macys.com/is/image/MCY/11607139 </v>
      </c>
    </row>
    <row r="115" spans="1:11" ht="20.100000000000001" customHeight="1" x14ac:dyDescent="0.25">
      <c r="A115" s="13" t="s">
        <v>160</v>
      </c>
      <c r="B115" s="14">
        <v>13810619</v>
      </c>
      <c r="C115" s="8">
        <v>706258596493</v>
      </c>
      <c r="D115" s="6" t="s">
        <v>618</v>
      </c>
      <c r="E115" s="19">
        <v>2</v>
      </c>
      <c r="F115" s="15">
        <v>119.99</v>
      </c>
      <c r="G115" s="15">
        <v>239.98</v>
      </c>
      <c r="H115" s="7" t="s">
        <v>668</v>
      </c>
      <c r="I115" s="7" t="s">
        <v>692</v>
      </c>
      <c r="J115" s="7" t="s">
        <v>753</v>
      </c>
      <c r="K115" s="7" t="str">
        <f>HYPERLINK("http://slimages.macys.com/is/image/MCY/8813910 ")</f>
        <v xml:space="preserve">http://slimages.macys.com/is/image/MCY/8813910 </v>
      </c>
    </row>
    <row r="116" spans="1:11" ht="20.100000000000001" customHeight="1" x14ac:dyDescent="0.25">
      <c r="A116" s="13" t="s">
        <v>160</v>
      </c>
      <c r="B116" s="14">
        <v>13810619</v>
      </c>
      <c r="C116" s="8">
        <v>706258615880</v>
      </c>
      <c r="D116" s="6" t="s">
        <v>1097</v>
      </c>
      <c r="E116" s="19">
        <v>1</v>
      </c>
      <c r="F116" s="15">
        <v>41.99</v>
      </c>
      <c r="G116" s="15">
        <v>41.99</v>
      </c>
      <c r="H116" s="7" t="s">
        <v>714</v>
      </c>
      <c r="I116" s="7" t="s">
        <v>777</v>
      </c>
      <c r="J116" s="7" t="s">
        <v>890</v>
      </c>
      <c r="K116" s="7" t="str">
        <f>HYPERLINK("http://slimages.macys.com/is/image/MCY/9406085 ")</f>
        <v xml:space="preserve">http://slimages.macys.com/is/image/MCY/9406085 </v>
      </c>
    </row>
    <row r="117" spans="1:11" ht="20.100000000000001" customHeight="1" x14ac:dyDescent="0.25">
      <c r="A117" s="13" t="s">
        <v>160</v>
      </c>
      <c r="B117" s="14">
        <v>13810619</v>
      </c>
      <c r="C117" s="8">
        <v>706258616344</v>
      </c>
      <c r="D117" s="6" t="s">
        <v>908</v>
      </c>
      <c r="E117" s="19">
        <v>1</v>
      </c>
      <c r="F117" s="15">
        <v>9.99</v>
      </c>
      <c r="G117" s="15">
        <v>9.99</v>
      </c>
      <c r="H117" s="7" t="s">
        <v>714</v>
      </c>
      <c r="I117" s="7" t="s">
        <v>777</v>
      </c>
      <c r="J117" s="7" t="s">
        <v>890</v>
      </c>
      <c r="K117" s="7" t="str">
        <f>HYPERLINK("http://slimages.macys.com/is/image/MCY/2831820 ")</f>
        <v xml:space="preserve">http://slimages.macys.com/is/image/MCY/2831820 </v>
      </c>
    </row>
    <row r="118" spans="1:11" ht="20.100000000000001" customHeight="1" x14ac:dyDescent="0.25">
      <c r="A118" s="13" t="s">
        <v>160</v>
      </c>
      <c r="B118" s="14">
        <v>13810619</v>
      </c>
      <c r="C118" s="8">
        <v>709271376554</v>
      </c>
      <c r="D118" s="6" t="s">
        <v>619</v>
      </c>
      <c r="E118" s="19">
        <v>1</v>
      </c>
      <c r="F118" s="15">
        <v>34.99</v>
      </c>
      <c r="G118" s="15">
        <v>34.99</v>
      </c>
      <c r="H118" s="7" t="s">
        <v>688</v>
      </c>
      <c r="I118" s="7" t="s">
        <v>719</v>
      </c>
      <c r="J118" s="7" t="s">
        <v>839</v>
      </c>
      <c r="K118" s="7" t="str">
        <f>HYPERLINK("http://slimages.macys.com/is/image/MCY/8289253 ")</f>
        <v xml:space="preserve">http://slimages.macys.com/is/image/MCY/8289253 </v>
      </c>
    </row>
    <row r="119" spans="1:11" ht="20.100000000000001" customHeight="1" x14ac:dyDescent="0.25">
      <c r="A119" s="13" t="s">
        <v>160</v>
      </c>
      <c r="B119" s="14">
        <v>13810619</v>
      </c>
      <c r="C119" s="8">
        <v>726895578287</v>
      </c>
      <c r="D119" s="6" t="s">
        <v>620</v>
      </c>
      <c r="E119" s="19">
        <v>1</v>
      </c>
      <c r="F119" s="15">
        <v>29.99</v>
      </c>
      <c r="G119" s="15">
        <v>29.99</v>
      </c>
      <c r="H119" s="7" t="s">
        <v>807</v>
      </c>
      <c r="I119" s="7" t="s">
        <v>763</v>
      </c>
      <c r="J119" s="7" t="s">
        <v>764</v>
      </c>
      <c r="K119" s="7" t="str">
        <f>HYPERLINK("http://slimages.macys.com/is/image/MCY/9356828 ")</f>
        <v xml:space="preserve">http://slimages.macys.com/is/image/MCY/9356828 </v>
      </c>
    </row>
    <row r="120" spans="1:11" ht="20.100000000000001" customHeight="1" x14ac:dyDescent="0.25">
      <c r="A120" s="13" t="s">
        <v>160</v>
      </c>
      <c r="B120" s="14">
        <v>13810619</v>
      </c>
      <c r="C120" s="8">
        <v>730733119631</v>
      </c>
      <c r="D120" s="6" t="s">
        <v>621</v>
      </c>
      <c r="E120" s="19">
        <v>1</v>
      </c>
      <c r="F120" s="15">
        <v>247.99</v>
      </c>
      <c r="G120" s="15">
        <v>247.99</v>
      </c>
      <c r="H120" s="7" t="s">
        <v>676</v>
      </c>
      <c r="I120" s="7" t="s">
        <v>689</v>
      </c>
      <c r="J120" s="7" t="s">
        <v>622</v>
      </c>
      <c r="K120" s="7" t="str">
        <f>HYPERLINK("http://slimages.macys.com/is/image/MCY/11562236 ")</f>
        <v xml:space="preserve">http://slimages.macys.com/is/image/MCY/11562236 </v>
      </c>
    </row>
    <row r="121" spans="1:11" ht="20.100000000000001" customHeight="1" x14ac:dyDescent="0.25">
      <c r="A121" s="13" t="s">
        <v>160</v>
      </c>
      <c r="B121" s="14">
        <v>13810619</v>
      </c>
      <c r="C121" s="8">
        <v>732994628754</v>
      </c>
      <c r="D121" s="6" t="s">
        <v>623</v>
      </c>
      <c r="E121" s="19">
        <v>2</v>
      </c>
      <c r="F121" s="15">
        <v>49.99</v>
      </c>
      <c r="G121" s="15">
        <v>99.98</v>
      </c>
      <c r="H121" s="7" t="s">
        <v>668</v>
      </c>
      <c r="I121" s="7" t="s">
        <v>692</v>
      </c>
      <c r="J121" s="7" t="s">
        <v>728</v>
      </c>
      <c r="K121" s="7" t="str">
        <f>HYPERLINK("http://slimages.macys.com/is/image/MCY/10015969 ")</f>
        <v xml:space="preserve">http://slimages.macys.com/is/image/MCY/10015969 </v>
      </c>
    </row>
    <row r="122" spans="1:11" ht="20.100000000000001" customHeight="1" x14ac:dyDescent="0.25">
      <c r="A122" s="13" t="s">
        <v>160</v>
      </c>
      <c r="B122" s="14">
        <v>13810619</v>
      </c>
      <c r="C122" s="8">
        <v>732994723701</v>
      </c>
      <c r="D122" s="6" t="s">
        <v>824</v>
      </c>
      <c r="E122" s="19">
        <v>1</v>
      </c>
      <c r="F122" s="15">
        <v>199.99</v>
      </c>
      <c r="G122" s="15">
        <v>199.99</v>
      </c>
      <c r="H122" s="7" t="s">
        <v>671</v>
      </c>
      <c r="I122" s="7" t="s">
        <v>797</v>
      </c>
      <c r="J122" s="7" t="s">
        <v>825</v>
      </c>
      <c r="K122" s="7" t="str">
        <f>HYPERLINK("http://slimages.macys.com/is/image/MCY/10264817 ")</f>
        <v xml:space="preserve">http://slimages.macys.com/is/image/MCY/10264817 </v>
      </c>
    </row>
    <row r="123" spans="1:11" ht="20.100000000000001" customHeight="1" x14ac:dyDescent="0.25">
      <c r="A123" s="13" t="s">
        <v>160</v>
      </c>
      <c r="B123" s="14">
        <v>13810619</v>
      </c>
      <c r="C123" s="8">
        <v>732995560886</v>
      </c>
      <c r="D123" s="6" t="s">
        <v>624</v>
      </c>
      <c r="E123" s="19">
        <v>1</v>
      </c>
      <c r="F123" s="15">
        <v>39.99</v>
      </c>
      <c r="G123" s="15">
        <v>39.99</v>
      </c>
      <c r="H123" s="7" t="s">
        <v>671</v>
      </c>
      <c r="I123" s="7" t="s">
        <v>797</v>
      </c>
      <c r="J123" s="7" t="s">
        <v>825</v>
      </c>
      <c r="K123" s="7" t="str">
        <f>HYPERLINK("http://slimages.macys.com/is/image/MCY/12072499 ")</f>
        <v xml:space="preserve">http://slimages.macys.com/is/image/MCY/12072499 </v>
      </c>
    </row>
    <row r="124" spans="1:11" ht="20.100000000000001" customHeight="1" x14ac:dyDescent="0.25">
      <c r="A124" s="13" t="s">
        <v>160</v>
      </c>
      <c r="B124" s="14">
        <v>13810619</v>
      </c>
      <c r="C124" s="8">
        <v>732995797534</v>
      </c>
      <c r="D124" s="6" t="s">
        <v>625</v>
      </c>
      <c r="E124" s="19">
        <v>1</v>
      </c>
      <c r="F124" s="15">
        <v>78.11</v>
      </c>
      <c r="G124" s="15">
        <v>78.11</v>
      </c>
      <c r="H124" s="7"/>
      <c r="I124" s="7" t="s">
        <v>763</v>
      </c>
      <c r="J124" s="7" t="s">
        <v>764</v>
      </c>
      <c r="K124" s="7" t="str">
        <f>HYPERLINK("http://slimages.macys.com/is/image/MCY/9408114 ")</f>
        <v xml:space="preserve">http://slimages.macys.com/is/image/MCY/9408114 </v>
      </c>
    </row>
    <row r="125" spans="1:11" ht="20.100000000000001" customHeight="1" x14ac:dyDescent="0.25">
      <c r="A125" s="13" t="s">
        <v>160</v>
      </c>
      <c r="B125" s="14">
        <v>13810619</v>
      </c>
      <c r="C125" s="8">
        <v>732996250113</v>
      </c>
      <c r="D125" s="6" t="s">
        <v>626</v>
      </c>
      <c r="E125" s="19">
        <v>1</v>
      </c>
      <c r="F125" s="15">
        <v>24.99</v>
      </c>
      <c r="G125" s="15">
        <v>24.99</v>
      </c>
      <c r="H125" s="7" t="s">
        <v>668</v>
      </c>
      <c r="I125" s="7" t="s">
        <v>777</v>
      </c>
      <c r="J125" s="7" t="s">
        <v>800</v>
      </c>
      <c r="K125" s="7" t="str">
        <f>HYPERLINK("http://slimages.macys.com/is/image/MCY/12384987 ")</f>
        <v xml:space="preserve">http://slimages.macys.com/is/image/MCY/12384987 </v>
      </c>
    </row>
    <row r="126" spans="1:11" ht="20.100000000000001" customHeight="1" x14ac:dyDescent="0.25">
      <c r="A126" s="13" t="s">
        <v>160</v>
      </c>
      <c r="B126" s="14">
        <v>13810619</v>
      </c>
      <c r="C126" s="8">
        <v>732996465203</v>
      </c>
      <c r="D126" s="6" t="s">
        <v>782</v>
      </c>
      <c r="E126" s="19">
        <v>1</v>
      </c>
      <c r="F126" s="15">
        <v>259.99</v>
      </c>
      <c r="G126" s="15">
        <v>259.99</v>
      </c>
      <c r="H126" s="7" t="s">
        <v>668</v>
      </c>
      <c r="I126" s="7" t="s">
        <v>680</v>
      </c>
      <c r="J126" s="7" t="s">
        <v>747</v>
      </c>
      <c r="K126" s="7" t="str">
        <f>HYPERLINK("http://slimages.macys.com/is/image/MCY/11953123 ")</f>
        <v xml:space="preserve">http://slimages.macys.com/is/image/MCY/11953123 </v>
      </c>
    </row>
    <row r="127" spans="1:11" ht="20.100000000000001" customHeight="1" x14ac:dyDescent="0.25">
      <c r="A127" s="13" t="s">
        <v>160</v>
      </c>
      <c r="B127" s="14">
        <v>13810619</v>
      </c>
      <c r="C127" s="8">
        <v>732997147191</v>
      </c>
      <c r="D127" s="6" t="s">
        <v>627</v>
      </c>
      <c r="E127" s="19">
        <v>1</v>
      </c>
      <c r="F127" s="15">
        <v>39.99</v>
      </c>
      <c r="G127" s="15">
        <v>39.99</v>
      </c>
      <c r="H127" s="7" t="s">
        <v>717</v>
      </c>
      <c r="I127" s="7" t="s">
        <v>797</v>
      </c>
      <c r="J127" s="7" t="s">
        <v>825</v>
      </c>
      <c r="K127" s="7" t="str">
        <f>HYPERLINK("http://slimages.macys.com/is/image/MCY/14312283 ")</f>
        <v xml:space="preserve">http://slimages.macys.com/is/image/MCY/14312283 </v>
      </c>
    </row>
    <row r="128" spans="1:11" ht="20.100000000000001" customHeight="1" x14ac:dyDescent="0.25">
      <c r="A128" s="13" t="s">
        <v>160</v>
      </c>
      <c r="B128" s="14">
        <v>13810619</v>
      </c>
      <c r="C128" s="8">
        <v>732997163276</v>
      </c>
      <c r="D128" s="6" t="s">
        <v>628</v>
      </c>
      <c r="E128" s="19">
        <v>1</v>
      </c>
      <c r="F128" s="15">
        <v>175</v>
      </c>
      <c r="G128" s="15">
        <v>175</v>
      </c>
      <c r="H128" s="7" t="s">
        <v>784</v>
      </c>
      <c r="I128" s="7" t="s">
        <v>741</v>
      </c>
      <c r="J128" s="7" t="s">
        <v>947</v>
      </c>
      <c r="K128" s="7" t="str">
        <f>HYPERLINK("http://images.bloomingdales.com/is/image/BLM/10498701 ")</f>
        <v xml:space="preserve">http://images.bloomingdales.com/is/image/BLM/10498701 </v>
      </c>
    </row>
    <row r="129" spans="1:11" ht="20.100000000000001" customHeight="1" x14ac:dyDescent="0.25">
      <c r="A129" s="13" t="s">
        <v>160</v>
      </c>
      <c r="B129" s="14">
        <v>13810619</v>
      </c>
      <c r="C129" s="8">
        <v>732997256275</v>
      </c>
      <c r="D129" s="6" t="s">
        <v>629</v>
      </c>
      <c r="E129" s="19">
        <v>2</v>
      </c>
      <c r="F129" s="15">
        <v>74.989999999999995</v>
      </c>
      <c r="G129" s="15">
        <v>149.97999999999999</v>
      </c>
      <c r="H129" s="7" t="s">
        <v>665</v>
      </c>
      <c r="I129" s="7" t="s">
        <v>680</v>
      </c>
      <c r="J129" s="7" t="s">
        <v>816</v>
      </c>
      <c r="K129" s="7" t="str">
        <f>HYPERLINK("http://slimages.macys.com/is/image/MCY/14788489 ")</f>
        <v xml:space="preserve">http://slimages.macys.com/is/image/MCY/14788489 </v>
      </c>
    </row>
    <row r="130" spans="1:11" ht="20.100000000000001" customHeight="1" x14ac:dyDescent="0.25">
      <c r="A130" s="13" t="s">
        <v>160</v>
      </c>
      <c r="B130" s="14">
        <v>13810619</v>
      </c>
      <c r="C130" s="8">
        <v>732997256282</v>
      </c>
      <c r="D130" s="6" t="s">
        <v>630</v>
      </c>
      <c r="E130" s="19">
        <v>1</v>
      </c>
      <c r="F130" s="15">
        <v>74.989999999999995</v>
      </c>
      <c r="G130" s="15">
        <v>74.989999999999995</v>
      </c>
      <c r="H130" s="7" t="s">
        <v>668</v>
      </c>
      <c r="I130" s="7" t="s">
        <v>680</v>
      </c>
      <c r="J130" s="7" t="s">
        <v>816</v>
      </c>
      <c r="K130" s="7" t="str">
        <f>HYPERLINK("http://slimages.macys.com/is/image/MCY/14788489 ")</f>
        <v xml:space="preserve">http://slimages.macys.com/is/image/MCY/14788489 </v>
      </c>
    </row>
    <row r="131" spans="1:11" ht="20.100000000000001" customHeight="1" x14ac:dyDescent="0.25">
      <c r="A131" s="13" t="s">
        <v>160</v>
      </c>
      <c r="B131" s="14">
        <v>13810619</v>
      </c>
      <c r="C131" s="8">
        <v>732997268513</v>
      </c>
      <c r="D131" s="6" t="s">
        <v>631</v>
      </c>
      <c r="E131" s="19">
        <v>1</v>
      </c>
      <c r="F131" s="15">
        <v>79.989999999999995</v>
      </c>
      <c r="G131" s="15">
        <v>79.989999999999995</v>
      </c>
      <c r="H131" s="7" t="s">
        <v>779</v>
      </c>
      <c r="I131" s="7" t="s">
        <v>694</v>
      </c>
      <c r="J131" s="7" t="s">
        <v>695</v>
      </c>
      <c r="K131" s="7" t="str">
        <f>HYPERLINK("http://slimages.macys.com/is/image/MCY/9971657 ")</f>
        <v xml:space="preserve">http://slimages.macys.com/is/image/MCY/9971657 </v>
      </c>
    </row>
    <row r="132" spans="1:11" ht="20.100000000000001" customHeight="1" x14ac:dyDescent="0.25">
      <c r="A132" s="13" t="s">
        <v>160</v>
      </c>
      <c r="B132" s="14">
        <v>13810619</v>
      </c>
      <c r="C132" s="8">
        <v>732997393949</v>
      </c>
      <c r="D132" s="6" t="s">
        <v>1112</v>
      </c>
      <c r="E132" s="19">
        <v>2</v>
      </c>
      <c r="F132" s="15">
        <v>69.989999999999995</v>
      </c>
      <c r="G132" s="15">
        <v>139.97999999999999</v>
      </c>
      <c r="H132" s="7" t="s">
        <v>668</v>
      </c>
      <c r="I132" s="7" t="s">
        <v>777</v>
      </c>
      <c r="J132" s="7" t="s">
        <v>843</v>
      </c>
      <c r="K132" s="7" t="str">
        <f>HYPERLINK("http://slimages.macys.com/is/image/MCY/13368359 ")</f>
        <v xml:space="preserve">http://slimages.macys.com/is/image/MCY/13368359 </v>
      </c>
    </row>
    <row r="133" spans="1:11" ht="20.100000000000001" customHeight="1" x14ac:dyDescent="0.25">
      <c r="A133" s="13" t="s">
        <v>160</v>
      </c>
      <c r="B133" s="14">
        <v>13810619</v>
      </c>
      <c r="C133" s="8">
        <v>732997393970</v>
      </c>
      <c r="D133" s="6" t="s">
        <v>948</v>
      </c>
      <c r="E133" s="19">
        <v>1</v>
      </c>
      <c r="F133" s="15">
        <v>84.99</v>
      </c>
      <c r="G133" s="15">
        <v>84.99</v>
      </c>
      <c r="H133" s="7" t="s">
        <v>668</v>
      </c>
      <c r="I133" s="7" t="s">
        <v>777</v>
      </c>
      <c r="J133" s="7" t="s">
        <v>843</v>
      </c>
      <c r="K133" s="7" t="str">
        <f>HYPERLINK("http://slimages.macys.com/is/image/MCY/13368359 ")</f>
        <v xml:space="preserve">http://slimages.macys.com/is/image/MCY/13368359 </v>
      </c>
    </row>
    <row r="134" spans="1:11" ht="20.100000000000001" customHeight="1" x14ac:dyDescent="0.25">
      <c r="A134" s="13" t="s">
        <v>160</v>
      </c>
      <c r="B134" s="14">
        <v>13810619</v>
      </c>
      <c r="C134" s="8">
        <v>732998000242</v>
      </c>
      <c r="D134" s="6" t="s">
        <v>632</v>
      </c>
      <c r="E134" s="19">
        <v>2</v>
      </c>
      <c r="F134" s="15">
        <v>29.99</v>
      </c>
      <c r="G134" s="15">
        <v>59.98</v>
      </c>
      <c r="H134" s="7" t="s">
        <v>668</v>
      </c>
      <c r="I134" s="7" t="s">
        <v>777</v>
      </c>
      <c r="J134" s="7" t="s">
        <v>800</v>
      </c>
      <c r="K134" s="7" t="str">
        <f>HYPERLINK("http://slimages.macys.com/is/image/MCY/16904236 ")</f>
        <v xml:space="preserve">http://slimages.macys.com/is/image/MCY/16904236 </v>
      </c>
    </row>
    <row r="135" spans="1:11" ht="20.100000000000001" customHeight="1" x14ac:dyDescent="0.25">
      <c r="A135" s="13" t="s">
        <v>160</v>
      </c>
      <c r="B135" s="14">
        <v>13810619</v>
      </c>
      <c r="C135" s="8">
        <v>732998006763</v>
      </c>
      <c r="D135" s="6" t="s">
        <v>633</v>
      </c>
      <c r="E135" s="19">
        <v>1</v>
      </c>
      <c r="F135" s="15">
        <v>89.99</v>
      </c>
      <c r="G135" s="15">
        <v>89.99</v>
      </c>
      <c r="H135" s="7" t="s">
        <v>668</v>
      </c>
      <c r="I135" s="7" t="s">
        <v>680</v>
      </c>
      <c r="J135" s="7" t="s">
        <v>811</v>
      </c>
      <c r="K135" s="7" t="str">
        <f>HYPERLINK("http://slimages.macys.com/is/image/MCY/15884859 ")</f>
        <v xml:space="preserve">http://slimages.macys.com/is/image/MCY/15884859 </v>
      </c>
    </row>
    <row r="136" spans="1:11" ht="20.100000000000001" customHeight="1" x14ac:dyDescent="0.25">
      <c r="A136" s="13" t="s">
        <v>160</v>
      </c>
      <c r="B136" s="14">
        <v>13810619</v>
      </c>
      <c r="C136" s="8">
        <v>732998112273</v>
      </c>
      <c r="D136" s="6" t="s">
        <v>634</v>
      </c>
      <c r="E136" s="19">
        <v>1</v>
      </c>
      <c r="F136" s="15">
        <v>149.99</v>
      </c>
      <c r="G136" s="15">
        <v>149.99</v>
      </c>
      <c r="H136" s="7" t="s">
        <v>677</v>
      </c>
      <c r="I136" s="7" t="s">
        <v>680</v>
      </c>
      <c r="J136" s="7" t="s">
        <v>747</v>
      </c>
      <c r="K136" s="7" t="str">
        <f>HYPERLINK("http://slimages.macys.com/is/image/MCY/16356754 ")</f>
        <v xml:space="preserve">http://slimages.macys.com/is/image/MCY/16356754 </v>
      </c>
    </row>
    <row r="137" spans="1:11" ht="20.100000000000001" customHeight="1" x14ac:dyDescent="0.25">
      <c r="A137" s="13" t="s">
        <v>160</v>
      </c>
      <c r="B137" s="14">
        <v>13810619</v>
      </c>
      <c r="C137" s="8">
        <v>732998510031</v>
      </c>
      <c r="D137" s="6" t="s">
        <v>635</v>
      </c>
      <c r="E137" s="19">
        <v>1</v>
      </c>
      <c r="F137" s="15">
        <v>230</v>
      </c>
      <c r="G137" s="15">
        <v>230</v>
      </c>
      <c r="H137" s="7" t="s">
        <v>784</v>
      </c>
      <c r="I137" s="7" t="s">
        <v>741</v>
      </c>
      <c r="J137" s="7" t="s">
        <v>947</v>
      </c>
      <c r="K137" s="7" t="str">
        <f>HYPERLINK("http://images.bloomingdales.com/is/image/BLM/10806682 ")</f>
        <v xml:space="preserve">http://images.bloomingdales.com/is/image/BLM/10806682 </v>
      </c>
    </row>
    <row r="138" spans="1:11" ht="20.100000000000001" customHeight="1" x14ac:dyDescent="0.25">
      <c r="A138" s="13" t="s">
        <v>160</v>
      </c>
      <c r="B138" s="14">
        <v>13810619</v>
      </c>
      <c r="C138" s="8">
        <v>732998775386</v>
      </c>
      <c r="D138" s="6" t="s">
        <v>636</v>
      </c>
      <c r="E138" s="19">
        <v>1</v>
      </c>
      <c r="F138" s="15">
        <v>69.989999999999995</v>
      </c>
      <c r="G138" s="15">
        <v>69.989999999999995</v>
      </c>
      <c r="H138" s="7" t="s">
        <v>671</v>
      </c>
      <c r="I138" s="7" t="s">
        <v>680</v>
      </c>
      <c r="J138" s="7" t="s">
        <v>816</v>
      </c>
      <c r="K138" s="7" t="str">
        <f>HYPERLINK("http://slimages.macys.com/is/image/MCY/16688306 ")</f>
        <v xml:space="preserve">http://slimages.macys.com/is/image/MCY/16688306 </v>
      </c>
    </row>
    <row r="139" spans="1:11" ht="20.100000000000001" customHeight="1" x14ac:dyDescent="0.25">
      <c r="A139" s="13" t="s">
        <v>160</v>
      </c>
      <c r="B139" s="14">
        <v>13810619</v>
      </c>
      <c r="C139" s="8">
        <v>732999290284</v>
      </c>
      <c r="D139" s="6" t="s">
        <v>637</v>
      </c>
      <c r="E139" s="19">
        <v>1</v>
      </c>
      <c r="F139" s="15">
        <v>69.989999999999995</v>
      </c>
      <c r="G139" s="15">
        <v>69.989999999999995</v>
      </c>
      <c r="H139" s="7" t="s">
        <v>807</v>
      </c>
      <c r="I139" s="7" t="s">
        <v>680</v>
      </c>
      <c r="J139" s="7" t="s">
        <v>817</v>
      </c>
      <c r="K139" s="7" t="str">
        <f>HYPERLINK("http://slimages.macys.com/is/image/MCY/17106579 ")</f>
        <v xml:space="preserve">http://slimages.macys.com/is/image/MCY/17106579 </v>
      </c>
    </row>
    <row r="140" spans="1:11" ht="20.100000000000001" customHeight="1" x14ac:dyDescent="0.25">
      <c r="A140" s="13" t="s">
        <v>160</v>
      </c>
      <c r="B140" s="14">
        <v>13810619</v>
      </c>
      <c r="C140" s="8">
        <v>732999609710</v>
      </c>
      <c r="D140" s="6" t="s">
        <v>638</v>
      </c>
      <c r="E140" s="19">
        <v>2</v>
      </c>
      <c r="F140" s="15">
        <v>79.989999999999995</v>
      </c>
      <c r="G140" s="15">
        <v>159.97999999999999</v>
      </c>
      <c r="H140" s="7" t="s">
        <v>732</v>
      </c>
      <c r="I140" s="7" t="s">
        <v>680</v>
      </c>
      <c r="J140" s="7" t="s">
        <v>733</v>
      </c>
      <c r="K140" s="7" t="str">
        <f>HYPERLINK("http://slimages.macys.com/is/image/MCY/17530946 ")</f>
        <v xml:space="preserve">http://slimages.macys.com/is/image/MCY/17530946 </v>
      </c>
    </row>
    <row r="141" spans="1:11" ht="20.100000000000001" customHeight="1" x14ac:dyDescent="0.25">
      <c r="A141" s="13" t="s">
        <v>160</v>
      </c>
      <c r="B141" s="14">
        <v>13810619</v>
      </c>
      <c r="C141" s="8">
        <v>732999609895</v>
      </c>
      <c r="D141" s="6" t="s">
        <v>918</v>
      </c>
      <c r="E141" s="19">
        <v>2</v>
      </c>
      <c r="F141" s="15">
        <v>119.99</v>
      </c>
      <c r="G141" s="15">
        <v>239.98</v>
      </c>
      <c r="H141" s="7" t="s">
        <v>919</v>
      </c>
      <c r="I141" s="7" t="s">
        <v>797</v>
      </c>
      <c r="J141" s="7" t="s">
        <v>825</v>
      </c>
      <c r="K141" s="7" t="str">
        <f>HYPERLINK("http://slimages.macys.com/is/image/MCY/17451484 ")</f>
        <v xml:space="preserve">http://slimages.macys.com/is/image/MCY/17451484 </v>
      </c>
    </row>
    <row r="142" spans="1:11" ht="20.100000000000001" customHeight="1" x14ac:dyDescent="0.25">
      <c r="A142" s="13" t="s">
        <v>160</v>
      </c>
      <c r="B142" s="14">
        <v>13810619</v>
      </c>
      <c r="C142" s="8">
        <v>732999620074</v>
      </c>
      <c r="D142" s="6" t="s">
        <v>951</v>
      </c>
      <c r="E142" s="19">
        <v>1</v>
      </c>
      <c r="F142" s="15">
        <v>29.99</v>
      </c>
      <c r="G142" s="15">
        <v>29.99</v>
      </c>
      <c r="H142" s="7" t="s">
        <v>668</v>
      </c>
      <c r="I142" s="7" t="s">
        <v>777</v>
      </c>
      <c r="J142" s="7" t="s">
        <v>906</v>
      </c>
      <c r="K142" s="7" t="str">
        <f>HYPERLINK("http://slimages.macys.com/is/image/MCY/17594710 ")</f>
        <v xml:space="preserve">http://slimages.macys.com/is/image/MCY/17594710 </v>
      </c>
    </row>
    <row r="143" spans="1:11" ht="20.100000000000001" customHeight="1" x14ac:dyDescent="0.25">
      <c r="A143" s="13" t="s">
        <v>160</v>
      </c>
      <c r="B143" s="14">
        <v>13810619</v>
      </c>
      <c r="C143" s="8">
        <v>732999620111</v>
      </c>
      <c r="D143" s="6" t="s">
        <v>729</v>
      </c>
      <c r="E143" s="19">
        <v>2</v>
      </c>
      <c r="F143" s="15">
        <v>99.99</v>
      </c>
      <c r="G143" s="15">
        <v>199.98</v>
      </c>
      <c r="H143" s="7" t="s">
        <v>668</v>
      </c>
      <c r="I143" s="7" t="s">
        <v>730</v>
      </c>
      <c r="J143" s="7" t="s">
        <v>731</v>
      </c>
      <c r="K143" s="7" t="str">
        <f>HYPERLINK("http://slimages.macys.com/is/image/MCY/17594680 ")</f>
        <v xml:space="preserve">http://slimages.macys.com/is/image/MCY/17594680 </v>
      </c>
    </row>
    <row r="144" spans="1:11" ht="20.100000000000001" customHeight="1" x14ac:dyDescent="0.25">
      <c r="A144" s="13" t="s">
        <v>160</v>
      </c>
      <c r="B144" s="14">
        <v>13810619</v>
      </c>
      <c r="C144" s="8">
        <v>732999788194</v>
      </c>
      <c r="D144" s="6" t="s">
        <v>639</v>
      </c>
      <c r="E144" s="19">
        <v>1</v>
      </c>
      <c r="F144" s="15">
        <v>6.99</v>
      </c>
      <c r="G144" s="15">
        <v>6.99</v>
      </c>
      <c r="H144" s="7" t="s">
        <v>668</v>
      </c>
      <c r="I144" s="7" t="s">
        <v>694</v>
      </c>
      <c r="J144" s="7" t="s">
        <v>825</v>
      </c>
      <c r="K144" s="7" t="str">
        <f>HYPERLINK("http://slimages.macys.com/is/image/MCY/18097904 ")</f>
        <v xml:space="preserve">http://slimages.macys.com/is/image/MCY/18097904 </v>
      </c>
    </row>
    <row r="145" spans="1:11" ht="20.100000000000001" customHeight="1" x14ac:dyDescent="0.25">
      <c r="A145" s="13" t="s">
        <v>160</v>
      </c>
      <c r="B145" s="14">
        <v>13810619</v>
      </c>
      <c r="C145" s="8">
        <v>732999837168</v>
      </c>
      <c r="D145" s="6" t="s">
        <v>870</v>
      </c>
      <c r="E145" s="19">
        <v>1</v>
      </c>
      <c r="F145" s="15">
        <v>119.99</v>
      </c>
      <c r="G145" s="15">
        <v>119.99</v>
      </c>
      <c r="H145" s="7" t="s">
        <v>668</v>
      </c>
      <c r="I145" s="7" t="s">
        <v>730</v>
      </c>
      <c r="J145" s="7" t="s">
        <v>871</v>
      </c>
      <c r="K145" s="7" t="str">
        <f>HYPERLINK("http://slimages.macys.com/is/image/MCY/17565927 ")</f>
        <v xml:space="preserve">http://slimages.macys.com/is/image/MCY/17565927 </v>
      </c>
    </row>
    <row r="146" spans="1:11" ht="20.100000000000001" customHeight="1" x14ac:dyDescent="0.25">
      <c r="A146" s="13" t="s">
        <v>160</v>
      </c>
      <c r="B146" s="14">
        <v>13810619</v>
      </c>
      <c r="C146" s="8">
        <v>732999855162</v>
      </c>
      <c r="D146" s="6" t="s">
        <v>640</v>
      </c>
      <c r="E146" s="19">
        <v>1</v>
      </c>
      <c r="F146" s="15">
        <v>99.99</v>
      </c>
      <c r="G146" s="15">
        <v>99.99</v>
      </c>
      <c r="H146" s="7" t="s">
        <v>671</v>
      </c>
      <c r="I146" s="7" t="s">
        <v>797</v>
      </c>
      <c r="J146" s="7" t="s">
        <v>825</v>
      </c>
      <c r="K146" s="7" t="str">
        <f>HYPERLINK("http://slimages.macys.com/is/image/MCY/17531037 ")</f>
        <v xml:space="preserve">http://slimages.macys.com/is/image/MCY/17531037 </v>
      </c>
    </row>
    <row r="147" spans="1:11" ht="20.100000000000001" customHeight="1" x14ac:dyDescent="0.25">
      <c r="A147" s="13" t="s">
        <v>160</v>
      </c>
      <c r="B147" s="14">
        <v>13810619</v>
      </c>
      <c r="C147" s="8">
        <v>733001092834</v>
      </c>
      <c r="D147" s="6" t="s">
        <v>641</v>
      </c>
      <c r="E147" s="19">
        <v>1</v>
      </c>
      <c r="F147" s="15">
        <v>349.99</v>
      </c>
      <c r="G147" s="15">
        <v>349.99</v>
      </c>
      <c r="H147" s="7" t="s">
        <v>668</v>
      </c>
      <c r="I147" s="7" t="s">
        <v>680</v>
      </c>
      <c r="J147" s="7" t="s">
        <v>816</v>
      </c>
      <c r="K147" s="7" t="str">
        <f>HYPERLINK("http://slimages.macys.com/is/image/MCY/18289943 ")</f>
        <v xml:space="preserve">http://slimages.macys.com/is/image/MCY/18289943 </v>
      </c>
    </row>
    <row r="148" spans="1:11" ht="20.100000000000001" customHeight="1" x14ac:dyDescent="0.25">
      <c r="A148" s="13" t="s">
        <v>160</v>
      </c>
      <c r="B148" s="14">
        <v>13810619</v>
      </c>
      <c r="C148" s="8">
        <v>733001712947</v>
      </c>
      <c r="D148" s="6" t="s">
        <v>642</v>
      </c>
      <c r="E148" s="19">
        <v>1</v>
      </c>
      <c r="F148" s="15">
        <v>99.99</v>
      </c>
      <c r="G148" s="15">
        <v>99.99</v>
      </c>
      <c r="H148" s="7" t="s">
        <v>751</v>
      </c>
      <c r="I148" s="7" t="s">
        <v>808</v>
      </c>
      <c r="J148" s="7" t="s">
        <v>809</v>
      </c>
      <c r="K148" s="7" t="str">
        <f>HYPERLINK("http://slimages.macys.com/is/image/MCY/18159733 ")</f>
        <v xml:space="preserve">http://slimages.macys.com/is/image/MCY/18159733 </v>
      </c>
    </row>
    <row r="149" spans="1:11" ht="20.100000000000001" customHeight="1" x14ac:dyDescent="0.25">
      <c r="A149" s="13" t="s">
        <v>160</v>
      </c>
      <c r="B149" s="14">
        <v>13810619</v>
      </c>
      <c r="C149" s="8">
        <v>733001925880</v>
      </c>
      <c r="D149" s="6" t="s">
        <v>643</v>
      </c>
      <c r="E149" s="19">
        <v>1</v>
      </c>
      <c r="F149" s="15">
        <v>34.99</v>
      </c>
      <c r="G149" s="15">
        <v>34.99</v>
      </c>
      <c r="H149" s="7" t="s">
        <v>668</v>
      </c>
      <c r="I149" s="7" t="s">
        <v>777</v>
      </c>
      <c r="J149" s="7" t="s">
        <v>800</v>
      </c>
      <c r="K149" s="7" t="str">
        <f>HYPERLINK("http://slimages.macys.com/is/image/MCY/18753171 ")</f>
        <v xml:space="preserve">http://slimages.macys.com/is/image/MCY/18753171 </v>
      </c>
    </row>
    <row r="150" spans="1:11" ht="20.100000000000001" customHeight="1" x14ac:dyDescent="0.25">
      <c r="A150" s="13" t="s">
        <v>160</v>
      </c>
      <c r="B150" s="14">
        <v>13810619</v>
      </c>
      <c r="C150" s="8">
        <v>733001946793</v>
      </c>
      <c r="D150" s="6" t="s">
        <v>644</v>
      </c>
      <c r="E150" s="19">
        <v>1</v>
      </c>
      <c r="F150" s="15">
        <v>34.99</v>
      </c>
      <c r="G150" s="15">
        <v>34.99</v>
      </c>
      <c r="H150" s="7" t="s">
        <v>668</v>
      </c>
      <c r="I150" s="7" t="s">
        <v>777</v>
      </c>
      <c r="J150" s="7" t="s">
        <v>800</v>
      </c>
      <c r="K150" s="7" t="str">
        <f>HYPERLINK("http://slimages.macys.com/is/image/MCY/18716083 ")</f>
        <v xml:space="preserve">http://slimages.macys.com/is/image/MCY/18716083 </v>
      </c>
    </row>
    <row r="151" spans="1:11" ht="20.100000000000001" customHeight="1" x14ac:dyDescent="0.25">
      <c r="A151" s="13" t="s">
        <v>160</v>
      </c>
      <c r="B151" s="14">
        <v>13810619</v>
      </c>
      <c r="C151" s="8">
        <v>733001946823</v>
      </c>
      <c r="D151" s="6" t="s">
        <v>645</v>
      </c>
      <c r="E151" s="19">
        <v>1</v>
      </c>
      <c r="F151" s="15">
        <v>24.99</v>
      </c>
      <c r="G151" s="15">
        <v>24.99</v>
      </c>
      <c r="H151" s="7" t="s">
        <v>668</v>
      </c>
      <c r="I151" s="7" t="s">
        <v>777</v>
      </c>
      <c r="J151" s="7" t="s">
        <v>800</v>
      </c>
      <c r="K151" s="7" t="str">
        <f>HYPERLINK("http://slimages.macys.com/is/image/MCY/18716099 ")</f>
        <v xml:space="preserve">http://slimages.macys.com/is/image/MCY/18716099 </v>
      </c>
    </row>
    <row r="152" spans="1:11" ht="20.100000000000001" customHeight="1" x14ac:dyDescent="0.25">
      <c r="A152" s="13" t="s">
        <v>160</v>
      </c>
      <c r="B152" s="14">
        <v>13810619</v>
      </c>
      <c r="C152" s="8">
        <v>733002007981</v>
      </c>
      <c r="D152" s="6" t="s">
        <v>1135</v>
      </c>
      <c r="E152" s="19">
        <v>1</v>
      </c>
      <c r="F152" s="15">
        <v>199.99</v>
      </c>
      <c r="G152" s="15">
        <v>199.99</v>
      </c>
      <c r="H152" s="7" t="s">
        <v>717</v>
      </c>
      <c r="I152" s="7" t="s">
        <v>680</v>
      </c>
      <c r="J152" s="7" t="s">
        <v>817</v>
      </c>
      <c r="K152" s="7" t="str">
        <f>HYPERLINK("http://slimages.macys.com/is/image/MCY/18631904 ")</f>
        <v xml:space="preserve">http://slimages.macys.com/is/image/MCY/18631904 </v>
      </c>
    </row>
    <row r="153" spans="1:11" ht="20.100000000000001" customHeight="1" x14ac:dyDescent="0.25">
      <c r="A153" s="13" t="s">
        <v>160</v>
      </c>
      <c r="B153" s="14">
        <v>13810619</v>
      </c>
      <c r="C153" s="8">
        <v>733002052158</v>
      </c>
      <c r="D153" s="6" t="s">
        <v>1136</v>
      </c>
      <c r="E153" s="19">
        <v>1</v>
      </c>
      <c r="F153" s="15">
        <v>119.99</v>
      </c>
      <c r="G153" s="15">
        <v>119.99</v>
      </c>
      <c r="H153" s="7" t="s">
        <v>668</v>
      </c>
      <c r="I153" s="7" t="s">
        <v>741</v>
      </c>
      <c r="J153" s="7" t="s">
        <v>932</v>
      </c>
      <c r="K153" s="7" t="str">
        <f>HYPERLINK("http://slimages.macys.com/is/image/MCY/18366426 ")</f>
        <v xml:space="preserve">http://slimages.macys.com/is/image/MCY/18366426 </v>
      </c>
    </row>
    <row r="154" spans="1:11" ht="20.100000000000001" customHeight="1" x14ac:dyDescent="0.25">
      <c r="A154" s="13" t="s">
        <v>160</v>
      </c>
      <c r="B154" s="14">
        <v>13810619</v>
      </c>
      <c r="C154" s="8">
        <v>733002097845</v>
      </c>
      <c r="D154" s="6" t="s">
        <v>646</v>
      </c>
      <c r="E154" s="19">
        <v>1</v>
      </c>
      <c r="F154" s="15">
        <v>79.989999999999995</v>
      </c>
      <c r="G154" s="15">
        <v>79.989999999999995</v>
      </c>
      <c r="H154" s="7" t="s">
        <v>701</v>
      </c>
      <c r="I154" s="7" t="s">
        <v>680</v>
      </c>
      <c r="J154" s="7" t="s">
        <v>811</v>
      </c>
      <c r="K154" s="7" t="str">
        <f>HYPERLINK("http://slimages.macys.com/is/image/MCY/18987469 ")</f>
        <v xml:space="preserve">http://slimages.macys.com/is/image/MCY/18987469 </v>
      </c>
    </row>
    <row r="155" spans="1:11" ht="20.100000000000001" customHeight="1" x14ac:dyDescent="0.25">
      <c r="A155" s="13" t="s">
        <v>160</v>
      </c>
      <c r="B155" s="14">
        <v>13810619</v>
      </c>
      <c r="C155" s="8">
        <v>733002141586</v>
      </c>
      <c r="D155" s="6" t="s">
        <v>1138</v>
      </c>
      <c r="E155" s="19">
        <v>1</v>
      </c>
      <c r="F155" s="15">
        <v>99.99</v>
      </c>
      <c r="G155" s="15">
        <v>99.99</v>
      </c>
      <c r="H155" s="7" t="s">
        <v>732</v>
      </c>
      <c r="I155" s="7" t="s">
        <v>741</v>
      </c>
      <c r="J155" s="7" t="s">
        <v>790</v>
      </c>
      <c r="K155" s="7" t="str">
        <f>HYPERLINK("http://slimages.macys.com/is/image/MCY/18422555 ")</f>
        <v xml:space="preserve">http://slimages.macys.com/is/image/MCY/18422555 </v>
      </c>
    </row>
    <row r="156" spans="1:11" ht="20.100000000000001" customHeight="1" x14ac:dyDescent="0.25">
      <c r="A156" s="13" t="s">
        <v>160</v>
      </c>
      <c r="B156" s="14">
        <v>13810619</v>
      </c>
      <c r="C156" s="8">
        <v>733002247172</v>
      </c>
      <c r="D156" s="6" t="s">
        <v>647</v>
      </c>
      <c r="E156" s="19">
        <v>1</v>
      </c>
      <c r="F156" s="15">
        <v>249.99</v>
      </c>
      <c r="G156" s="15">
        <v>249.99</v>
      </c>
      <c r="H156" s="7" t="s">
        <v>771</v>
      </c>
      <c r="I156" s="7" t="s">
        <v>680</v>
      </c>
      <c r="J156" s="7" t="s">
        <v>733</v>
      </c>
      <c r="K156" s="7" t="str">
        <f>HYPERLINK("http://slimages.macys.com/is/image/MCY/18821943 ")</f>
        <v xml:space="preserve">http://slimages.macys.com/is/image/MCY/18821943 </v>
      </c>
    </row>
    <row r="157" spans="1:11" ht="20.100000000000001" customHeight="1" x14ac:dyDescent="0.25">
      <c r="A157" s="13" t="s">
        <v>160</v>
      </c>
      <c r="B157" s="14">
        <v>13810619</v>
      </c>
      <c r="C157" s="8">
        <v>733002247325</v>
      </c>
      <c r="D157" s="6" t="s">
        <v>648</v>
      </c>
      <c r="E157" s="19">
        <v>1</v>
      </c>
      <c r="F157" s="15">
        <v>59.99</v>
      </c>
      <c r="G157" s="15">
        <v>59.99</v>
      </c>
      <c r="H157" s="7" t="s">
        <v>784</v>
      </c>
      <c r="I157" s="7" t="s">
        <v>680</v>
      </c>
      <c r="J157" s="7" t="s">
        <v>817</v>
      </c>
      <c r="K157" s="7" t="str">
        <f>HYPERLINK("http://slimages.macys.com/is/image/MCY/18821958 ")</f>
        <v xml:space="preserve">http://slimages.macys.com/is/image/MCY/18821958 </v>
      </c>
    </row>
    <row r="158" spans="1:11" ht="20.100000000000001" customHeight="1" x14ac:dyDescent="0.25">
      <c r="A158" s="13" t="s">
        <v>160</v>
      </c>
      <c r="B158" s="14">
        <v>13810619</v>
      </c>
      <c r="C158" s="8">
        <v>733002484812</v>
      </c>
      <c r="D158" s="6" t="s">
        <v>649</v>
      </c>
      <c r="E158" s="19">
        <v>1</v>
      </c>
      <c r="F158" s="15">
        <v>269.99</v>
      </c>
      <c r="G158" s="15">
        <v>269.99</v>
      </c>
      <c r="H158" s="7" t="s">
        <v>704</v>
      </c>
      <c r="I158" s="7" t="s">
        <v>808</v>
      </c>
      <c r="J158" s="7" t="s">
        <v>809</v>
      </c>
      <c r="K158" s="7" t="str">
        <f>HYPERLINK("http://slimages.macys.com/is/image/MCY/19184230 ")</f>
        <v xml:space="preserve">http://slimages.macys.com/is/image/MCY/19184230 </v>
      </c>
    </row>
    <row r="159" spans="1:11" ht="20.100000000000001" customHeight="1" x14ac:dyDescent="0.25">
      <c r="A159" s="13" t="s">
        <v>160</v>
      </c>
      <c r="B159" s="14">
        <v>13810619</v>
      </c>
      <c r="C159" s="8">
        <v>733002506668</v>
      </c>
      <c r="D159" s="6" t="s">
        <v>650</v>
      </c>
      <c r="E159" s="19">
        <v>1</v>
      </c>
      <c r="F159" s="15">
        <v>249.99</v>
      </c>
      <c r="G159" s="15">
        <v>249.99</v>
      </c>
      <c r="H159" s="7" t="s">
        <v>668</v>
      </c>
      <c r="I159" s="7" t="s">
        <v>680</v>
      </c>
      <c r="J159" s="7" t="s">
        <v>811</v>
      </c>
      <c r="K159" s="7" t="str">
        <f>HYPERLINK("http://slimages.macys.com/is/image/MCY/19021267 ")</f>
        <v xml:space="preserve">http://slimages.macys.com/is/image/MCY/19021267 </v>
      </c>
    </row>
    <row r="160" spans="1:11" ht="20.100000000000001" customHeight="1" x14ac:dyDescent="0.25">
      <c r="A160" s="13" t="s">
        <v>160</v>
      </c>
      <c r="B160" s="14">
        <v>13810619</v>
      </c>
      <c r="C160" s="8">
        <v>733002819713</v>
      </c>
      <c r="D160" s="6" t="s">
        <v>651</v>
      </c>
      <c r="E160" s="19">
        <v>1</v>
      </c>
      <c r="F160" s="15">
        <v>119.99</v>
      </c>
      <c r="G160" s="15">
        <v>119.99</v>
      </c>
      <c r="H160" s="7" t="s">
        <v>668</v>
      </c>
      <c r="I160" s="7" t="s">
        <v>808</v>
      </c>
      <c r="J160" s="7" t="s">
        <v>809</v>
      </c>
      <c r="K160" s="7" t="str">
        <f>HYPERLINK("http://slimages.macys.com/is/image/MCY/19413123 ")</f>
        <v xml:space="preserve">http://slimages.macys.com/is/image/MCY/19413123 </v>
      </c>
    </row>
    <row r="161" spans="1:11" ht="20.100000000000001" customHeight="1" x14ac:dyDescent="0.25">
      <c r="A161" s="13" t="s">
        <v>160</v>
      </c>
      <c r="B161" s="14">
        <v>13810619</v>
      </c>
      <c r="C161" s="8">
        <v>733002875443</v>
      </c>
      <c r="D161" s="6" t="s">
        <v>328</v>
      </c>
      <c r="E161" s="19">
        <v>2</v>
      </c>
      <c r="F161" s="15">
        <v>199.99</v>
      </c>
      <c r="G161" s="15">
        <v>399.98</v>
      </c>
      <c r="H161" s="7" t="s">
        <v>668</v>
      </c>
      <c r="I161" s="7" t="s">
        <v>680</v>
      </c>
      <c r="J161" s="7" t="s">
        <v>817</v>
      </c>
      <c r="K161" s="7" t="str">
        <f>HYPERLINK("http://slimages.macys.com/is/image/MCY/19338078 ")</f>
        <v xml:space="preserve">http://slimages.macys.com/is/image/MCY/19338078 </v>
      </c>
    </row>
    <row r="162" spans="1:11" ht="20.100000000000001" customHeight="1" x14ac:dyDescent="0.25">
      <c r="A162" s="13" t="s">
        <v>160</v>
      </c>
      <c r="B162" s="14">
        <v>13810619</v>
      </c>
      <c r="C162" s="8">
        <v>733002884728</v>
      </c>
      <c r="D162" s="6" t="s">
        <v>652</v>
      </c>
      <c r="E162" s="19">
        <v>1</v>
      </c>
      <c r="F162" s="15">
        <v>199.99</v>
      </c>
      <c r="G162" s="15">
        <v>199.99</v>
      </c>
      <c r="H162" s="7" t="s">
        <v>744</v>
      </c>
      <c r="I162" s="7" t="s">
        <v>680</v>
      </c>
      <c r="J162" s="7" t="s">
        <v>733</v>
      </c>
      <c r="K162" s="7" t="str">
        <f>HYPERLINK("http://slimages.macys.com/is/image/MCY/19340327 ")</f>
        <v xml:space="preserve">http://slimages.macys.com/is/image/MCY/19340327 </v>
      </c>
    </row>
    <row r="163" spans="1:11" ht="20.100000000000001" customHeight="1" x14ac:dyDescent="0.25">
      <c r="A163" s="13" t="s">
        <v>160</v>
      </c>
      <c r="B163" s="14">
        <v>13810619</v>
      </c>
      <c r="C163" s="8">
        <v>733004904110</v>
      </c>
      <c r="D163" s="6" t="s">
        <v>653</v>
      </c>
      <c r="E163" s="19">
        <v>1</v>
      </c>
      <c r="F163" s="15">
        <v>34.99</v>
      </c>
      <c r="G163" s="15">
        <v>34.99</v>
      </c>
      <c r="H163" s="7" t="s">
        <v>691</v>
      </c>
      <c r="I163" s="7" t="s">
        <v>808</v>
      </c>
      <c r="J163" s="7" t="s">
        <v>809</v>
      </c>
      <c r="K163" s="7" t="str">
        <f>HYPERLINK("http://slimages.macys.com/is/image/MCY/1043591 ")</f>
        <v xml:space="preserve">http://slimages.macys.com/is/image/MCY/1043591 </v>
      </c>
    </row>
    <row r="164" spans="1:11" ht="20.100000000000001" customHeight="1" x14ac:dyDescent="0.25">
      <c r="A164" s="13" t="s">
        <v>160</v>
      </c>
      <c r="B164" s="14">
        <v>13810619</v>
      </c>
      <c r="C164" s="8">
        <v>734737422957</v>
      </c>
      <c r="D164" s="6" t="s">
        <v>654</v>
      </c>
      <c r="E164" s="19">
        <v>2</v>
      </c>
      <c r="F164" s="15">
        <v>49.99</v>
      </c>
      <c r="G164" s="15">
        <v>99.98</v>
      </c>
      <c r="H164" s="7" t="s">
        <v>704</v>
      </c>
      <c r="I164" s="7" t="s">
        <v>672</v>
      </c>
      <c r="J164" s="7" t="s">
        <v>696</v>
      </c>
      <c r="K164" s="7" t="str">
        <f>HYPERLINK("http://slimages.macys.com/is/image/MCY/8347198 ")</f>
        <v xml:space="preserve">http://slimages.macys.com/is/image/MCY/8347198 </v>
      </c>
    </row>
    <row r="165" spans="1:11" ht="20.100000000000001" customHeight="1" x14ac:dyDescent="0.25">
      <c r="A165" s="13" t="s">
        <v>160</v>
      </c>
      <c r="B165" s="14">
        <v>13810619</v>
      </c>
      <c r="C165" s="8">
        <v>734737473126</v>
      </c>
      <c r="D165" s="6" t="s">
        <v>0</v>
      </c>
      <c r="E165" s="19">
        <v>1</v>
      </c>
      <c r="F165" s="15">
        <v>7.99</v>
      </c>
      <c r="G165" s="15">
        <v>7.99</v>
      </c>
      <c r="H165" s="7" t="s">
        <v>671</v>
      </c>
      <c r="I165" s="7" t="s">
        <v>752</v>
      </c>
      <c r="J165" s="7" t="s">
        <v>840</v>
      </c>
      <c r="K165" s="7" t="str">
        <f>HYPERLINK("http://slimages.macys.com/is/image/MCY/15893113 ")</f>
        <v xml:space="preserve">http://slimages.macys.com/is/image/MCY/15893113 </v>
      </c>
    </row>
    <row r="166" spans="1:11" ht="20.100000000000001" customHeight="1" x14ac:dyDescent="0.25">
      <c r="A166" s="13" t="s">
        <v>160</v>
      </c>
      <c r="B166" s="14">
        <v>13810619</v>
      </c>
      <c r="C166" s="8">
        <v>734737485631</v>
      </c>
      <c r="D166" s="6" t="s">
        <v>1</v>
      </c>
      <c r="E166" s="19">
        <v>1</v>
      </c>
      <c r="F166" s="15">
        <v>49.99</v>
      </c>
      <c r="G166" s="15">
        <v>49.99</v>
      </c>
      <c r="H166" s="7" t="s">
        <v>676</v>
      </c>
      <c r="I166" s="7" t="s">
        <v>672</v>
      </c>
      <c r="J166" s="7" t="s">
        <v>696</v>
      </c>
      <c r="K166" s="7" t="str">
        <f>HYPERLINK("http://slimages.macys.com/is/image/MCY/8347198 ")</f>
        <v xml:space="preserve">http://slimages.macys.com/is/image/MCY/8347198 </v>
      </c>
    </row>
    <row r="167" spans="1:11" ht="20.100000000000001" customHeight="1" x14ac:dyDescent="0.25">
      <c r="A167" s="13" t="s">
        <v>160</v>
      </c>
      <c r="B167" s="14">
        <v>13810619</v>
      </c>
      <c r="C167" s="8">
        <v>734737485648</v>
      </c>
      <c r="D167" s="6" t="s">
        <v>1150</v>
      </c>
      <c r="E167" s="19">
        <v>1</v>
      </c>
      <c r="F167" s="15">
        <v>49.99</v>
      </c>
      <c r="G167" s="15">
        <v>49.99</v>
      </c>
      <c r="H167" s="7" t="s">
        <v>676</v>
      </c>
      <c r="I167" s="7" t="s">
        <v>672</v>
      </c>
      <c r="J167" s="7" t="s">
        <v>696</v>
      </c>
      <c r="K167" s="7" t="str">
        <f>HYPERLINK("http://slimages.macys.com/is/image/MCY/8347198 ")</f>
        <v xml:space="preserve">http://slimages.macys.com/is/image/MCY/8347198 </v>
      </c>
    </row>
    <row r="168" spans="1:11" ht="20.100000000000001" customHeight="1" x14ac:dyDescent="0.25">
      <c r="A168" s="13" t="s">
        <v>160</v>
      </c>
      <c r="B168" s="14">
        <v>13810619</v>
      </c>
      <c r="C168" s="8">
        <v>734737485655</v>
      </c>
      <c r="D168" s="6" t="s">
        <v>331</v>
      </c>
      <c r="E168" s="19">
        <v>1</v>
      </c>
      <c r="F168" s="15">
        <v>49.99</v>
      </c>
      <c r="G168" s="15">
        <v>49.99</v>
      </c>
      <c r="H168" s="7" t="s">
        <v>676</v>
      </c>
      <c r="I168" s="7" t="s">
        <v>672</v>
      </c>
      <c r="J168" s="7" t="s">
        <v>696</v>
      </c>
      <c r="K168" s="7" t="str">
        <f>HYPERLINK("http://slimages.macys.com/is/image/MCY/8347198 ")</f>
        <v xml:space="preserve">http://slimages.macys.com/is/image/MCY/8347198 </v>
      </c>
    </row>
    <row r="169" spans="1:11" ht="20.100000000000001" customHeight="1" x14ac:dyDescent="0.25">
      <c r="A169" s="13" t="s">
        <v>160</v>
      </c>
      <c r="B169" s="14">
        <v>13810619</v>
      </c>
      <c r="C169" s="8">
        <v>734737485655</v>
      </c>
      <c r="D169" s="6" t="s">
        <v>331</v>
      </c>
      <c r="E169" s="19">
        <v>1</v>
      </c>
      <c r="F169" s="15">
        <v>78.11</v>
      </c>
      <c r="G169" s="15">
        <v>78.11</v>
      </c>
      <c r="H169" s="7"/>
      <c r="I169" s="7" t="s">
        <v>672</v>
      </c>
      <c r="J169" s="7" t="s">
        <v>696</v>
      </c>
      <c r="K169" s="7" t="str">
        <f>HYPERLINK("http://slimages.macys.com/is/image/MCY/8347198 ")</f>
        <v xml:space="preserve">http://slimages.macys.com/is/image/MCY/8347198 </v>
      </c>
    </row>
    <row r="170" spans="1:11" ht="20.100000000000001" customHeight="1" x14ac:dyDescent="0.25">
      <c r="A170" s="13" t="s">
        <v>160</v>
      </c>
      <c r="B170" s="14">
        <v>13810619</v>
      </c>
      <c r="C170" s="8">
        <v>734737532724</v>
      </c>
      <c r="D170" s="6" t="s">
        <v>697</v>
      </c>
      <c r="E170" s="19">
        <v>1</v>
      </c>
      <c r="F170" s="15">
        <v>49.99</v>
      </c>
      <c r="G170" s="15">
        <v>49.99</v>
      </c>
      <c r="H170" s="7" t="s">
        <v>668</v>
      </c>
      <c r="I170" s="7" t="s">
        <v>672</v>
      </c>
      <c r="J170" s="7" t="s">
        <v>696</v>
      </c>
      <c r="K170" s="7" t="str">
        <f>HYPERLINK("http://slimages.macys.com/is/image/MCY/9330026 ")</f>
        <v xml:space="preserve">http://slimages.macys.com/is/image/MCY/9330026 </v>
      </c>
    </row>
    <row r="171" spans="1:11" ht="20.100000000000001" customHeight="1" x14ac:dyDescent="0.25">
      <c r="A171" s="13" t="s">
        <v>160</v>
      </c>
      <c r="B171" s="14">
        <v>13810619</v>
      </c>
      <c r="C171" s="8">
        <v>734737532731</v>
      </c>
      <c r="D171" s="6" t="s">
        <v>876</v>
      </c>
      <c r="E171" s="19">
        <v>1</v>
      </c>
      <c r="F171" s="15">
        <v>49.99</v>
      </c>
      <c r="G171" s="15">
        <v>49.99</v>
      </c>
      <c r="H171" s="7" t="s">
        <v>668</v>
      </c>
      <c r="I171" s="7" t="s">
        <v>672</v>
      </c>
      <c r="J171" s="7" t="s">
        <v>696</v>
      </c>
      <c r="K171" s="7" t="str">
        <f>HYPERLINK("http://slimages.macys.com/is/image/MCY/9330026 ")</f>
        <v xml:space="preserve">http://slimages.macys.com/is/image/MCY/9330026 </v>
      </c>
    </row>
    <row r="172" spans="1:11" ht="20.100000000000001" customHeight="1" x14ac:dyDescent="0.25">
      <c r="A172" s="13" t="s">
        <v>160</v>
      </c>
      <c r="B172" s="14">
        <v>13810619</v>
      </c>
      <c r="C172" s="8">
        <v>734737532731</v>
      </c>
      <c r="D172" s="6" t="s">
        <v>876</v>
      </c>
      <c r="E172" s="19">
        <v>1</v>
      </c>
      <c r="F172" s="15">
        <v>49.99</v>
      </c>
      <c r="G172" s="15">
        <v>49.99</v>
      </c>
      <c r="H172" s="7" t="s">
        <v>668</v>
      </c>
      <c r="I172" s="7" t="s">
        <v>672</v>
      </c>
      <c r="J172" s="7" t="s">
        <v>696</v>
      </c>
      <c r="K172" s="7" t="str">
        <f>HYPERLINK("http://slimages.macys.com/is/image/MCY/9330026 ")</f>
        <v xml:space="preserve">http://slimages.macys.com/is/image/MCY/9330026 </v>
      </c>
    </row>
    <row r="173" spans="1:11" ht="20.100000000000001" customHeight="1" x14ac:dyDescent="0.25">
      <c r="A173" s="13" t="s">
        <v>160</v>
      </c>
      <c r="B173" s="14">
        <v>13810619</v>
      </c>
      <c r="C173" s="8">
        <v>734737552395</v>
      </c>
      <c r="D173" s="6" t="s">
        <v>761</v>
      </c>
      <c r="E173" s="19">
        <v>1</v>
      </c>
      <c r="F173" s="15">
        <v>29.99</v>
      </c>
      <c r="G173" s="15">
        <v>29.99</v>
      </c>
      <c r="H173" s="7" t="s">
        <v>704</v>
      </c>
      <c r="I173" s="7" t="s">
        <v>672</v>
      </c>
      <c r="J173" s="7" t="s">
        <v>696</v>
      </c>
      <c r="K173" s="7" t="str">
        <f>HYPERLINK("http://slimages.macys.com/is/image/MCY/9700679 ")</f>
        <v xml:space="preserve">http://slimages.macys.com/is/image/MCY/9700679 </v>
      </c>
    </row>
    <row r="174" spans="1:11" ht="20.100000000000001" customHeight="1" x14ac:dyDescent="0.25">
      <c r="A174" s="13" t="s">
        <v>160</v>
      </c>
      <c r="B174" s="14">
        <v>13810619</v>
      </c>
      <c r="C174" s="8">
        <v>734737634954</v>
      </c>
      <c r="D174" s="6" t="s">
        <v>2</v>
      </c>
      <c r="E174" s="19">
        <v>1</v>
      </c>
      <c r="F174" s="15">
        <v>39.99</v>
      </c>
      <c r="G174" s="15">
        <v>39.99</v>
      </c>
      <c r="H174" s="7" t="s">
        <v>676</v>
      </c>
      <c r="I174" s="7" t="s">
        <v>666</v>
      </c>
      <c r="J174" s="7" t="s">
        <v>696</v>
      </c>
      <c r="K174" s="7" t="str">
        <f>HYPERLINK("http://slimages.macys.com/is/image/MCY/17177962 ")</f>
        <v xml:space="preserve">http://slimages.macys.com/is/image/MCY/17177962 </v>
      </c>
    </row>
    <row r="175" spans="1:11" ht="20.100000000000001" customHeight="1" x14ac:dyDescent="0.25">
      <c r="A175" s="13" t="s">
        <v>160</v>
      </c>
      <c r="B175" s="14">
        <v>13810619</v>
      </c>
      <c r="C175" s="8">
        <v>734737636880</v>
      </c>
      <c r="D175" s="6" t="s">
        <v>3</v>
      </c>
      <c r="E175" s="19">
        <v>1</v>
      </c>
      <c r="F175" s="15">
        <v>179.99</v>
      </c>
      <c r="G175" s="15">
        <v>179.99</v>
      </c>
      <c r="H175" s="7" t="s">
        <v>759</v>
      </c>
      <c r="I175" s="7" t="s">
        <v>672</v>
      </c>
      <c r="J175" s="7" t="s">
        <v>696</v>
      </c>
      <c r="K175" s="7" t="str">
        <f>HYPERLINK("http://slimages.macys.com/is/image/MCY/16687765 ")</f>
        <v xml:space="preserve">http://slimages.macys.com/is/image/MCY/16687765 </v>
      </c>
    </row>
    <row r="176" spans="1:11" ht="20.100000000000001" customHeight="1" x14ac:dyDescent="0.25">
      <c r="A176" s="13" t="s">
        <v>160</v>
      </c>
      <c r="B176" s="14">
        <v>13810619</v>
      </c>
      <c r="C176" s="8">
        <v>734737637405</v>
      </c>
      <c r="D176" s="6" t="s">
        <v>874</v>
      </c>
      <c r="E176" s="19">
        <v>2</v>
      </c>
      <c r="F176" s="15">
        <v>49.99</v>
      </c>
      <c r="G176" s="15">
        <v>99.98</v>
      </c>
      <c r="H176" s="7" t="s">
        <v>671</v>
      </c>
      <c r="I176" s="7" t="s">
        <v>666</v>
      </c>
      <c r="J176" s="7" t="s">
        <v>696</v>
      </c>
      <c r="K176" s="7" t="str">
        <f>HYPERLINK("http://slimages.macys.com/is/image/MCY/17191785 ")</f>
        <v xml:space="preserve">http://slimages.macys.com/is/image/MCY/17191785 </v>
      </c>
    </row>
    <row r="177" spans="1:11" ht="20.100000000000001" customHeight="1" x14ac:dyDescent="0.25">
      <c r="A177" s="13" t="s">
        <v>160</v>
      </c>
      <c r="B177" s="14">
        <v>13810619</v>
      </c>
      <c r="C177" s="8">
        <v>734737637467</v>
      </c>
      <c r="D177" s="6" t="s">
        <v>4</v>
      </c>
      <c r="E177" s="19">
        <v>1</v>
      </c>
      <c r="F177" s="15">
        <v>49.99</v>
      </c>
      <c r="G177" s="15">
        <v>49.99</v>
      </c>
      <c r="H177" s="7" t="s">
        <v>676</v>
      </c>
      <c r="I177" s="7" t="s">
        <v>666</v>
      </c>
      <c r="J177" s="7" t="s">
        <v>696</v>
      </c>
      <c r="K177" s="7" t="str">
        <f>HYPERLINK("http://slimages.macys.com/is/image/MCY/17191785 ")</f>
        <v xml:space="preserve">http://slimages.macys.com/is/image/MCY/17191785 </v>
      </c>
    </row>
    <row r="178" spans="1:11" ht="20.100000000000001" customHeight="1" x14ac:dyDescent="0.25">
      <c r="A178" s="13" t="s">
        <v>160</v>
      </c>
      <c r="B178" s="14">
        <v>13810619</v>
      </c>
      <c r="C178" s="8">
        <v>734737671348</v>
      </c>
      <c r="D178" s="6" t="s">
        <v>5</v>
      </c>
      <c r="E178" s="19">
        <v>1</v>
      </c>
      <c r="F178" s="15">
        <v>29.99</v>
      </c>
      <c r="G178" s="15">
        <v>29.99</v>
      </c>
      <c r="H178" s="7" t="s">
        <v>721</v>
      </c>
      <c r="I178" s="7" t="s">
        <v>672</v>
      </c>
      <c r="J178" s="7" t="s">
        <v>696</v>
      </c>
      <c r="K178" s="7" t="str">
        <f>HYPERLINK("http://slimages.macys.com/is/image/MCY/18591176 ")</f>
        <v xml:space="preserve">http://slimages.macys.com/is/image/MCY/18591176 </v>
      </c>
    </row>
    <row r="179" spans="1:11" ht="20.100000000000001" customHeight="1" x14ac:dyDescent="0.25">
      <c r="A179" s="13" t="s">
        <v>160</v>
      </c>
      <c r="B179" s="14">
        <v>13810619</v>
      </c>
      <c r="C179" s="8">
        <v>735732011566</v>
      </c>
      <c r="D179" s="6" t="s">
        <v>1158</v>
      </c>
      <c r="E179" s="19">
        <v>1</v>
      </c>
      <c r="F179" s="15">
        <v>9.99</v>
      </c>
      <c r="G179" s="15">
        <v>9.99</v>
      </c>
      <c r="H179" s="7" t="s">
        <v>677</v>
      </c>
      <c r="I179" s="7" t="s">
        <v>674</v>
      </c>
      <c r="J179" s="7" t="s">
        <v>925</v>
      </c>
      <c r="K179" s="7" t="str">
        <f>HYPERLINK("http://slimages.macys.com/is/image/MCY/18989546 ")</f>
        <v xml:space="preserve">http://slimages.macys.com/is/image/MCY/18989546 </v>
      </c>
    </row>
    <row r="180" spans="1:11" ht="20.100000000000001" customHeight="1" x14ac:dyDescent="0.25">
      <c r="A180" s="13" t="s">
        <v>160</v>
      </c>
      <c r="B180" s="14">
        <v>13810619</v>
      </c>
      <c r="C180" s="8">
        <v>735732189906</v>
      </c>
      <c r="D180" s="6" t="s">
        <v>6</v>
      </c>
      <c r="E180" s="19">
        <v>1</v>
      </c>
      <c r="F180" s="15">
        <v>68.989999999999995</v>
      </c>
      <c r="G180" s="15">
        <v>68.989999999999995</v>
      </c>
      <c r="H180" s="7"/>
      <c r="I180" s="7" t="s">
        <v>674</v>
      </c>
      <c r="J180" s="7" t="s">
        <v>925</v>
      </c>
      <c r="K180" s="7" t="str">
        <f>HYPERLINK("http://slimages.macys.com/is/image/MCY/10156489 ")</f>
        <v xml:space="preserve">http://slimages.macys.com/is/image/MCY/10156489 </v>
      </c>
    </row>
    <row r="181" spans="1:11" ht="20.100000000000001" customHeight="1" x14ac:dyDescent="0.25">
      <c r="A181" s="13" t="s">
        <v>160</v>
      </c>
      <c r="B181" s="14">
        <v>13810619</v>
      </c>
      <c r="C181" s="8">
        <v>735732294471</v>
      </c>
      <c r="D181" s="6" t="s">
        <v>7</v>
      </c>
      <c r="E181" s="19">
        <v>1</v>
      </c>
      <c r="F181" s="15">
        <v>18.989999999999998</v>
      </c>
      <c r="G181" s="15">
        <v>18.989999999999998</v>
      </c>
      <c r="H181" s="7" t="s">
        <v>721</v>
      </c>
      <c r="I181" s="7" t="s">
        <v>682</v>
      </c>
      <c r="J181" s="7" t="s">
        <v>868</v>
      </c>
      <c r="K181" s="7" t="str">
        <f>HYPERLINK("http://slimages.macys.com/is/image/MCY/13533961 ")</f>
        <v xml:space="preserve">http://slimages.macys.com/is/image/MCY/13533961 </v>
      </c>
    </row>
    <row r="182" spans="1:11" ht="20.100000000000001" customHeight="1" x14ac:dyDescent="0.25">
      <c r="A182" s="13" t="s">
        <v>160</v>
      </c>
      <c r="B182" s="14">
        <v>13810619</v>
      </c>
      <c r="C182" s="8">
        <v>735732294471</v>
      </c>
      <c r="D182" s="6" t="s">
        <v>7</v>
      </c>
      <c r="E182" s="19">
        <v>1</v>
      </c>
      <c r="F182" s="15">
        <v>18.989999999999998</v>
      </c>
      <c r="G182" s="15">
        <v>18.989999999999998</v>
      </c>
      <c r="H182" s="7" t="s">
        <v>721</v>
      </c>
      <c r="I182" s="7" t="s">
        <v>682</v>
      </c>
      <c r="J182" s="7" t="s">
        <v>868</v>
      </c>
      <c r="K182" s="7" t="str">
        <f>HYPERLINK("http://slimages.macys.com/is/image/MCY/13533961 ")</f>
        <v xml:space="preserve">http://slimages.macys.com/is/image/MCY/13533961 </v>
      </c>
    </row>
    <row r="183" spans="1:11" ht="20.100000000000001" customHeight="1" x14ac:dyDescent="0.25">
      <c r="A183" s="13" t="s">
        <v>160</v>
      </c>
      <c r="B183" s="14">
        <v>13810619</v>
      </c>
      <c r="C183" s="8">
        <v>735732952159</v>
      </c>
      <c r="D183" s="6" t="s">
        <v>8</v>
      </c>
      <c r="E183" s="19">
        <v>1</v>
      </c>
      <c r="F183" s="15">
        <v>87.99</v>
      </c>
      <c r="G183" s="15">
        <v>87.99</v>
      </c>
      <c r="H183" s="7" t="s">
        <v>668</v>
      </c>
      <c r="I183" s="7" t="s">
        <v>672</v>
      </c>
      <c r="J183" s="7" t="s">
        <v>868</v>
      </c>
      <c r="K183" s="7" t="str">
        <f>HYPERLINK("http://slimages.macys.com/is/image/MCY/18528681 ")</f>
        <v xml:space="preserve">http://slimages.macys.com/is/image/MCY/18528681 </v>
      </c>
    </row>
    <row r="184" spans="1:11" ht="20.100000000000001" customHeight="1" x14ac:dyDescent="0.25">
      <c r="A184" s="13" t="s">
        <v>160</v>
      </c>
      <c r="B184" s="14">
        <v>13810619</v>
      </c>
      <c r="C184" s="8">
        <v>735837083055</v>
      </c>
      <c r="D184" s="6" t="s">
        <v>9</v>
      </c>
      <c r="E184" s="19">
        <v>1</v>
      </c>
      <c r="F184" s="15">
        <v>199.99</v>
      </c>
      <c r="G184" s="15">
        <v>199.99</v>
      </c>
      <c r="H184" s="7" t="s">
        <v>668</v>
      </c>
      <c r="I184" s="7" t="s">
        <v>730</v>
      </c>
      <c r="J184" s="7" t="s">
        <v>838</v>
      </c>
      <c r="K184" s="7" t="str">
        <f>HYPERLINK("http://slimages.macys.com/is/image/MCY/2355760 ")</f>
        <v xml:space="preserve">http://slimages.macys.com/is/image/MCY/2355760 </v>
      </c>
    </row>
    <row r="185" spans="1:11" ht="20.100000000000001" customHeight="1" x14ac:dyDescent="0.25">
      <c r="A185" s="13" t="s">
        <v>160</v>
      </c>
      <c r="B185" s="14">
        <v>13810619</v>
      </c>
      <c r="C185" s="8">
        <v>735837086322</v>
      </c>
      <c r="D185" s="6" t="s">
        <v>10</v>
      </c>
      <c r="E185" s="19">
        <v>1</v>
      </c>
      <c r="F185" s="15">
        <v>84.99</v>
      </c>
      <c r="G185" s="15">
        <v>84.99</v>
      </c>
      <c r="H185" s="7" t="s">
        <v>677</v>
      </c>
      <c r="I185" s="7" t="s">
        <v>777</v>
      </c>
      <c r="J185" s="7" t="s">
        <v>838</v>
      </c>
      <c r="K185" s="7" t="str">
        <f>HYPERLINK("http://slimages.macys.com/is/image/MCY/13121058 ")</f>
        <v xml:space="preserve">http://slimages.macys.com/is/image/MCY/13121058 </v>
      </c>
    </row>
    <row r="186" spans="1:11" ht="20.100000000000001" customHeight="1" x14ac:dyDescent="0.25">
      <c r="A186" s="13" t="s">
        <v>160</v>
      </c>
      <c r="B186" s="14">
        <v>13810619</v>
      </c>
      <c r="C186" s="8">
        <v>735837574157</v>
      </c>
      <c r="D186" s="6" t="s">
        <v>852</v>
      </c>
      <c r="E186" s="19">
        <v>1</v>
      </c>
      <c r="F186" s="15">
        <v>339.99</v>
      </c>
      <c r="G186" s="15">
        <v>339.99</v>
      </c>
      <c r="H186" s="7" t="s">
        <v>668</v>
      </c>
      <c r="I186" s="7" t="s">
        <v>730</v>
      </c>
      <c r="J186" s="7" t="s">
        <v>838</v>
      </c>
      <c r="K186" s="7" t="str">
        <f>HYPERLINK("http://slimages.macys.com/is/image/MCY/3969345 ")</f>
        <v xml:space="preserve">http://slimages.macys.com/is/image/MCY/3969345 </v>
      </c>
    </row>
    <row r="187" spans="1:11" ht="20.100000000000001" customHeight="1" x14ac:dyDescent="0.25">
      <c r="A187" s="13" t="s">
        <v>160</v>
      </c>
      <c r="B187" s="14">
        <v>13810619</v>
      </c>
      <c r="C187" s="8">
        <v>735837574232</v>
      </c>
      <c r="D187" s="6" t="s">
        <v>344</v>
      </c>
      <c r="E187" s="19">
        <v>2</v>
      </c>
      <c r="F187" s="15">
        <v>179.99</v>
      </c>
      <c r="G187" s="15">
        <v>359.98</v>
      </c>
      <c r="H187" s="7" t="s">
        <v>668</v>
      </c>
      <c r="I187" s="7" t="s">
        <v>777</v>
      </c>
      <c r="J187" s="7" t="s">
        <v>838</v>
      </c>
      <c r="K187" s="7" t="str">
        <f>HYPERLINK("http://slimages.macys.com/is/image/MCY/3962581 ")</f>
        <v xml:space="preserve">http://slimages.macys.com/is/image/MCY/3962581 </v>
      </c>
    </row>
    <row r="188" spans="1:11" ht="20.100000000000001" customHeight="1" x14ac:dyDescent="0.25">
      <c r="A188" s="13" t="s">
        <v>160</v>
      </c>
      <c r="B188" s="14">
        <v>13810619</v>
      </c>
      <c r="C188" s="8">
        <v>750105134376</v>
      </c>
      <c r="D188" s="6" t="s">
        <v>1172</v>
      </c>
      <c r="E188" s="19">
        <v>1</v>
      </c>
      <c r="F188" s="15">
        <v>149.99</v>
      </c>
      <c r="G188" s="15">
        <v>149.99</v>
      </c>
      <c r="H188" s="7" t="s">
        <v>668</v>
      </c>
      <c r="I188" s="7" t="s">
        <v>730</v>
      </c>
      <c r="J188" s="7" t="s">
        <v>800</v>
      </c>
      <c r="K188" s="7" t="str">
        <f>HYPERLINK("http://slimages.macys.com/is/image/MCY/3962569 ")</f>
        <v xml:space="preserve">http://slimages.macys.com/is/image/MCY/3962569 </v>
      </c>
    </row>
    <row r="189" spans="1:11" ht="20.100000000000001" customHeight="1" x14ac:dyDescent="0.25">
      <c r="A189" s="13" t="s">
        <v>160</v>
      </c>
      <c r="B189" s="14">
        <v>13810619</v>
      </c>
      <c r="C189" s="8">
        <v>750105134390</v>
      </c>
      <c r="D189" s="6" t="s">
        <v>347</v>
      </c>
      <c r="E189" s="19">
        <v>1</v>
      </c>
      <c r="F189" s="15">
        <v>189.99</v>
      </c>
      <c r="G189" s="15">
        <v>189.99</v>
      </c>
      <c r="H189" s="7" t="s">
        <v>668</v>
      </c>
      <c r="I189" s="7" t="s">
        <v>730</v>
      </c>
      <c r="J189" s="7" t="s">
        <v>800</v>
      </c>
      <c r="K189" s="7" t="str">
        <f>HYPERLINK("http://slimages.macys.com/is/image/MCY/3962568 ")</f>
        <v xml:space="preserve">http://slimages.macys.com/is/image/MCY/3962568 </v>
      </c>
    </row>
    <row r="190" spans="1:11" ht="20.100000000000001" customHeight="1" x14ac:dyDescent="0.25">
      <c r="A190" s="13" t="s">
        <v>160</v>
      </c>
      <c r="B190" s="14">
        <v>13810619</v>
      </c>
      <c r="C190" s="8">
        <v>750105134406</v>
      </c>
      <c r="D190" s="6" t="s">
        <v>1173</v>
      </c>
      <c r="E190" s="19">
        <v>1</v>
      </c>
      <c r="F190" s="15">
        <v>264.99</v>
      </c>
      <c r="G190" s="15">
        <v>264.99</v>
      </c>
      <c r="H190" s="7" t="s">
        <v>668</v>
      </c>
      <c r="I190" s="7" t="s">
        <v>730</v>
      </c>
      <c r="J190" s="7" t="s">
        <v>800</v>
      </c>
      <c r="K190" s="7" t="str">
        <f>HYPERLINK("http://slimages.macys.com/is/image/MCY/3974561 ")</f>
        <v xml:space="preserve">http://slimages.macys.com/is/image/MCY/3974561 </v>
      </c>
    </row>
    <row r="191" spans="1:11" ht="20.100000000000001" customHeight="1" x14ac:dyDescent="0.25">
      <c r="A191" s="13" t="s">
        <v>160</v>
      </c>
      <c r="B191" s="14">
        <v>13810619</v>
      </c>
      <c r="C191" s="8">
        <v>750105134413</v>
      </c>
      <c r="D191" s="6" t="s">
        <v>1174</v>
      </c>
      <c r="E191" s="19">
        <v>2</v>
      </c>
      <c r="F191" s="15">
        <v>199.99</v>
      </c>
      <c r="G191" s="15">
        <v>399.98</v>
      </c>
      <c r="H191" s="7" t="s">
        <v>668</v>
      </c>
      <c r="I191" s="7" t="s">
        <v>730</v>
      </c>
      <c r="J191" s="7" t="s">
        <v>800</v>
      </c>
      <c r="K191" s="7" t="str">
        <f>HYPERLINK("http://slimages.macys.com/is/image/MCY/3962568 ")</f>
        <v xml:space="preserve">http://slimages.macys.com/is/image/MCY/3962568 </v>
      </c>
    </row>
    <row r="192" spans="1:11" ht="20.100000000000001" customHeight="1" x14ac:dyDescent="0.25">
      <c r="A192" s="13" t="s">
        <v>160</v>
      </c>
      <c r="B192" s="14">
        <v>13810619</v>
      </c>
      <c r="C192" s="8">
        <v>750105134420</v>
      </c>
      <c r="D192" s="6" t="s">
        <v>11</v>
      </c>
      <c r="E192" s="19">
        <v>1</v>
      </c>
      <c r="F192" s="15">
        <v>274.99</v>
      </c>
      <c r="G192" s="15">
        <v>274.99</v>
      </c>
      <c r="H192" s="7" t="s">
        <v>668</v>
      </c>
      <c r="I192" s="7" t="s">
        <v>730</v>
      </c>
      <c r="J192" s="7" t="s">
        <v>800</v>
      </c>
      <c r="K192" s="7" t="str">
        <f>HYPERLINK("http://slimages.macys.com/is/image/MCY/3974561 ")</f>
        <v xml:space="preserve">http://slimages.macys.com/is/image/MCY/3974561 </v>
      </c>
    </row>
    <row r="193" spans="1:11" ht="20.100000000000001" customHeight="1" x14ac:dyDescent="0.25">
      <c r="A193" s="13" t="s">
        <v>160</v>
      </c>
      <c r="B193" s="14">
        <v>13810619</v>
      </c>
      <c r="C193" s="8">
        <v>750105138329</v>
      </c>
      <c r="D193" s="6" t="s">
        <v>12</v>
      </c>
      <c r="E193" s="19">
        <v>2</v>
      </c>
      <c r="F193" s="15">
        <v>124.99</v>
      </c>
      <c r="G193" s="15">
        <v>249.98</v>
      </c>
      <c r="H193" s="7" t="s">
        <v>668</v>
      </c>
      <c r="I193" s="7" t="s">
        <v>777</v>
      </c>
      <c r="J193" s="7" t="s">
        <v>800</v>
      </c>
      <c r="K193" s="7" t="str">
        <f>HYPERLINK("http://slimages.macys.com/is/image/MCY/8589816 ")</f>
        <v xml:space="preserve">http://slimages.macys.com/is/image/MCY/8589816 </v>
      </c>
    </row>
    <row r="194" spans="1:11" ht="20.100000000000001" customHeight="1" x14ac:dyDescent="0.25">
      <c r="A194" s="13" t="s">
        <v>160</v>
      </c>
      <c r="B194" s="14">
        <v>13810619</v>
      </c>
      <c r="C194" s="8">
        <v>750105138664</v>
      </c>
      <c r="D194" s="6" t="s">
        <v>867</v>
      </c>
      <c r="E194" s="19">
        <v>1</v>
      </c>
      <c r="F194" s="15">
        <v>84.99</v>
      </c>
      <c r="G194" s="15">
        <v>84.99</v>
      </c>
      <c r="H194" s="7" t="s">
        <v>668</v>
      </c>
      <c r="I194" s="7" t="s">
        <v>777</v>
      </c>
      <c r="J194" s="7" t="s">
        <v>800</v>
      </c>
      <c r="K194" s="7" t="str">
        <f>HYPERLINK("http://slimages.macys.com/is/image/MCY/8589816 ")</f>
        <v xml:space="preserve">http://slimages.macys.com/is/image/MCY/8589816 </v>
      </c>
    </row>
    <row r="195" spans="1:11" ht="20.100000000000001" customHeight="1" x14ac:dyDescent="0.25">
      <c r="A195" s="13" t="s">
        <v>160</v>
      </c>
      <c r="B195" s="14">
        <v>13810619</v>
      </c>
      <c r="C195" s="8">
        <v>750105138664</v>
      </c>
      <c r="D195" s="6" t="s">
        <v>867</v>
      </c>
      <c r="E195" s="19">
        <v>3</v>
      </c>
      <c r="F195" s="15">
        <v>84.99</v>
      </c>
      <c r="G195" s="15">
        <v>254.97</v>
      </c>
      <c r="H195" s="7" t="s">
        <v>668</v>
      </c>
      <c r="I195" s="7" t="s">
        <v>777</v>
      </c>
      <c r="J195" s="7" t="s">
        <v>800</v>
      </c>
      <c r="K195" s="7" t="str">
        <f>HYPERLINK("http://slimages.macys.com/is/image/MCY/8589816 ")</f>
        <v xml:space="preserve">http://slimages.macys.com/is/image/MCY/8589816 </v>
      </c>
    </row>
    <row r="196" spans="1:11" ht="20.100000000000001" customHeight="1" x14ac:dyDescent="0.25">
      <c r="A196" s="13" t="s">
        <v>160</v>
      </c>
      <c r="B196" s="14">
        <v>13810619</v>
      </c>
      <c r="C196" s="8">
        <v>750105138671</v>
      </c>
      <c r="D196" s="6" t="s">
        <v>946</v>
      </c>
      <c r="E196" s="19">
        <v>1</v>
      </c>
      <c r="F196" s="15">
        <v>104.99</v>
      </c>
      <c r="G196" s="15">
        <v>104.99</v>
      </c>
      <c r="H196" s="7" t="s">
        <v>668</v>
      </c>
      <c r="I196" s="7" t="s">
        <v>777</v>
      </c>
      <c r="J196" s="7" t="s">
        <v>800</v>
      </c>
      <c r="K196" s="7" t="str">
        <f>HYPERLINK("http://slimages.macys.com/is/image/MCY/8589816 ")</f>
        <v xml:space="preserve">http://slimages.macys.com/is/image/MCY/8589816 </v>
      </c>
    </row>
    <row r="197" spans="1:11" ht="20.100000000000001" customHeight="1" x14ac:dyDescent="0.25">
      <c r="A197" s="13" t="s">
        <v>160</v>
      </c>
      <c r="B197" s="14">
        <v>13810619</v>
      </c>
      <c r="C197" s="8">
        <v>750105141435</v>
      </c>
      <c r="D197" s="6" t="s">
        <v>857</v>
      </c>
      <c r="E197" s="19">
        <v>1</v>
      </c>
      <c r="F197" s="15">
        <v>189.99</v>
      </c>
      <c r="G197" s="15">
        <v>189.99</v>
      </c>
      <c r="H197" s="7" t="s">
        <v>668</v>
      </c>
      <c r="I197" s="7" t="s">
        <v>730</v>
      </c>
      <c r="J197" s="7" t="s">
        <v>843</v>
      </c>
      <c r="K197" s="7" t="str">
        <f>HYPERLINK("http://slimages.macys.com/is/image/MCY/11935772 ")</f>
        <v xml:space="preserve">http://slimages.macys.com/is/image/MCY/11935772 </v>
      </c>
    </row>
    <row r="198" spans="1:11" ht="20.100000000000001" customHeight="1" x14ac:dyDescent="0.25">
      <c r="A198" s="13" t="s">
        <v>160</v>
      </c>
      <c r="B198" s="14">
        <v>13810619</v>
      </c>
      <c r="C198" s="8">
        <v>750105168975</v>
      </c>
      <c r="D198" s="6" t="s">
        <v>1176</v>
      </c>
      <c r="E198" s="19">
        <v>1</v>
      </c>
      <c r="F198" s="15">
        <v>16.989999999999998</v>
      </c>
      <c r="G198" s="15">
        <v>16.989999999999998</v>
      </c>
      <c r="H198" s="7" t="s">
        <v>668</v>
      </c>
      <c r="I198" s="7" t="s">
        <v>669</v>
      </c>
      <c r="J198" s="7" t="s">
        <v>933</v>
      </c>
      <c r="K198" s="7" t="str">
        <f>HYPERLINK("http://slimages.macys.com/is/image/MCY/17934766 ")</f>
        <v xml:space="preserve">http://slimages.macys.com/is/image/MCY/17934766 </v>
      </c>
    </row>
    <row r="199" spans="1:11" ht="20.100000000000001" customHeight="1" x14ac:dyDescent="0.25">
      <c r="A199" s="13" t="s">
        <v>160</v>
      </c>
      <c r="B199" s="14">
        <v>13810619</v>
      </c>
      <c r="C199" s="8">
        <v>755615160907</v>
      </c>
      <c r="D199" s="6" t="s">
        <v>13</v>
      </c>
      <c r="E199" s="19">
        <v>4</v>
      </c>
      <c r="F199" s="15">
        <v>24.99</v>
      </c>
      <c r="G199" s="15">
        <v>99.96</v>
      </c>
      <c r="H199" s="7" t="s">
        <v>677</v>
      </c>
      <c r="I199" s="7" t="s">
        <v>674</v>
      </c>
      <c r="J199" s="7" t="s">
        <v>955</v>
      </c>
      <c r="K199" s="7" t="str">
        <f>HYPERLINK("http://slimages.macys.com/is/image/MCY/821775 ")</f>
        <v xml:space="preserve">http://slimages.macys.com/is/image/MCY/821775 </v>
      </c>
    </row>
    <row r="200" spans="1:11" ht="20.100000000000001" customHeight="1" x14ac:dyDescent="0.25">
      <c r="A200" s="13" t="s">
        <v>160</v>
      </c>
      <c r="B200" s="14">
        <v>13810619</v>
      </c>
      <c r="C200" s="8">
        <v>766360449728</v>
      </c>
      <c r="D200" s="6" t="s">
        <v>14</v>
      </c>
      <c r="E200" s="19">
        <v>5</v>
      </c>
      <c r="F200" s="15">
        <v>9.99</v>
      </c>
      <c r="G200" s="15">
        <v>49.95</v>
      </c>
      <c r="H200" s="7" t="s">
        <v>668</v>
      </c>
      <c r="I200" s="7" t="s">
        <v>694</v>
      </c>
      <c r="J200" s="7" t="s">
        <v>695</v>
      </c>
      <c r="K200" s="7" t="str">
        <f>HYPERLINK("http://slimages.macys.com/is/image/MCY/13285497 ")</f>
        <v xml:space="preserve">http://slimages.macys.com/is/image/MCY/13285497 </v>
      </c>
    </row>
    <row r="201" spans="1:11" ht="20.100000000000001" customHeight="1" x14ac:dyDescent="0.25">
      <c r="A201" s="13" t="s">
        <v>160</v>
      </c>
      <c r="B201" s="14">
        <v>13810619</v>
      </c>
      <c r="C201" s="8">
        <v>783048110213</v>
      </c>
      <c r="D201" s="6" t="s">
        <v>15</v>
      </c>
      <c r="E201" s="19">
        <v>6</v>
      </c>
      <c r="F201" s="15">
        <v>66.989999999999995</v>
      </c>
      <c r="G201" s="15">
        <v>401.94</v>
      </c>
      <c r="H201" s="7" t="s">
        <v>784</v>
      </c>
      <c r="I201" s="7" t="s">
        <v>752</v>
      </c>
      <c r="J201" s="7" t="s">
        <v>739</v>
      </c>
      <c r="K201" s="7" t="str">
        <f>HYPERLINK("http://slimages.macys.com/is/image/MCY/14633773 ")</f>
        <v xml:space="preserve">http://slimages.macys.com/is/image/MCY/14633773 </v>
      </c>
    </row>
    <row r="202" spans="1:11" ht="20.100000000000001" customHeight="1" x14ac:dyDescent="0.25">
      <c r="A202" s="13" t="s">
        <v>160</v>
      </c>
      <c r="B202" s="14">
        <v>13810619</v>
      </c>
      <c r="C202" s="8">
        <v>783048154118</v>
      </c>
      <c r="D202" s="6" t="s">
        <v>16</v>
      </c>
      <c r="E202" s="19">
        <v>1</v>
      </c>
      <c r="F202" s="15">
        <v>29.99</v>
      </c>
      <c r="G202" s="15">
        <v>29.99</v>
      </c>
      <c r="H202" s="7"/>
      <c r="I202" s="7" t="s">
        <v>672</v>
      </c>
      <c r="J202" s="7" t="s">
        <v>739</v>
      </c>
      <c r="K202" s="7" t="str">
        <f>HYPERLINK("http://slimages.macys.com/is/image/MCY/18850351 ")</f>
        <v xml:space="preserve">http://slimages.macys.com/is/image/MCY/18850351 </v>
      </c>
    </row>
    <row r="203" spans="1:11" ht="20.100000000000001" customHeight="1" x14ac:dyDescent="0.25">
      <c r="A203" s="13" t="s">
        <v>160</v>
      </c>
      <c r="B203" s="14">
        <v>13810619</v>
      </c>
      <c r="C203" s="8">
        <v>783048158208</v>
      </c>
      <c r="D203" s="6" t="s">
        <v>17</v>
      </c>
      <c r="E203" s="19">
        <v>1</v>
      </c>
      <c r="F203" s="15">
        <v>29.99</v>
      </c>
      <c r="G203" s="15">
        <v>29.99</v>
      </c>
      <c r="H203" s="7"/>
      <c r="I203" s="7" t="s">
        <v>672</v>
      </c>
      <c r="J203" s="7" t="s">
        <v>739</v>
      </c>
      <c r="K203" s="7" t="str">
        <f>HYPERLINK("http://slimages.macys.com/is/image/MCY/18987499 ")</f>
        <v xml:space="preserve">http://slimages.macys.com/is/image/MCY/18987499 </v>
      </c>
    </row>
    <row r="204" spans="1:11" ht="20.100000000000001" customHeight="1" x14ac:dyDescent="0.25">
      <c r="A204" s="13" t="s">
        <v>160</v>
      </c>
      <c r="B204" s="14">
        <v>13810619</v>
      </c>
      <c r="C204" s="8">
        <v>783048158239</v>
      </c>
      <c r="D204" s="6" t="s">
        <v>18</v>
      </c>
      <c r="E204" s="19">
        <v>1</v>
      </c>
      <c r="F204" s="15">
        <v>29.99</v>
      </c>
      <c r="G204" s="15">
        <v>29.99</v>
      </c>
      <c r="H204" s="7"/>
      <c r="I204" s="7" t="s">
        <v>672</v>
      </c>
      <c r="J204" s="7" t="s">
        <v>739</v>
      </c>
      <c r="K204" s="7" t="str">
        <f>HYPERLINK("http://slimages.macys.com/is/image/MCY/18987361 ")</f>
        <v xml:space="preserve">http://slimages.macys.com/is/image/MCY/18987361 </v>
      </c>
    </row>
    <row r="205" spans="1:11" ht="20.100000000000001" customHeight="1" x14ac:dyDescent="0.25">
      <c r="A205" s="13" t="s">
        <v>160</v>
      </c>
      <c r="B205" s="14">
        <v>13810619</v>
      </c>
      <c r="C205" s="8">
        <v>783048998415</v>
      </c>
      <c r="D205" s="6" t="s">
        <v>19</v>
      </c>
      <c r="E205" s="19">
        <v>1</v>
      </c>
      <c r="F205" s="15">
        <v>38.99</v>
      </c>
      <c r="G205" s="15">
        <v>38.99</v>
      </c>
      <c r="H205" s="7" t="s">
        <v>691</v>
      </c>
      <c r="I205" s="7" t="s">
        <v>672</v>
      </c>
      <c r="J205" s="7" t="s">
        <v>739</v>
      </c>
      <c r="K205" s="7" t="str">
        <f>HYPERLINK("http://slimages.macys.com/is/image/MCY/10005660 ")</f>
        <v xml:space="preserve">http://slimages.macys.com/is/image/MCY/10005660 </v>
      </c>
    </row>
    <row r="206" spans="1:11" ht="20.100000000000001" customHeight="1" x14ac:dyDescent="0.25">
      <c r="A206" s="13" t="s">
        <v>160</v>
      </c>
      <c r="B206" s="14">
        <v>13810619</v>
      </c>
      <c r="C206" s="8">
        <v>784008134065</v>
      </c>
      <c r="D206" s="6" t="s">
        <v>20</v>
      </c>
      <c r="E206" s="19">
        <v>1</v>
      </c>
      <c r="F206" s="15">
        <v>55.99</v>
      </c>
      <c r="G206" s="15">
        <v>55.99</v>
      </c>
      <c r="H206" s="7" t="s">
        <v>668</v>
      </c>
      <c r="I206" s="7" t="s">
        <v>669</v>
      </c>
      <c r="J206" s="7" t="s">
        <v>670</v>
      </c>
      <c r="K206" s="7" t="str">
        <f>HYPERLINK("http://slimages.macys.com/is/image/MCY/11798900 ")</f>
        <v xml:space="preserve">http://slimages.macys.com/is/image/MCY/11798900 </v>
      </c>
    </row>
    <row r="207" spans="1:11" ht="20.100000000000001" customHeight="1" x14ac:dyDescent="0.25">
      <c r="A207" s="13" t="s">
        <v>160</v>
      </c>
      <c r="B207" s="14">
        <v>13810619</v>
      </c>
      <c r="C207" s="8">
        <v>784851502882</v>
      </c>
      <c r="D207" s="6" t="s">
        <v>21</v>
      </c>
      <c r="E207" s="19">
        <v>1</v>
      </c>
      <c r="F207" s="15">
        <v>37.99</v>
      </c>
      <c r="G207" s="15">
        <v>37.99</v>
      </c>
      <c r="H207" s="7" t="s">
        <v>665</v>
      </c>
      <c r="I207" s="7" t="s">
        <v>666</v>
      </c>
      <c r="J207" s="7" t="s">
        <v>901</v>
      </c>
      <c r="K207" s="7" t="str">
        <f>HYPERLINK("http://slimages.macys.com/is/image/MCY/12899987 ")</f>
        <v xml:space="preserve">http://slimages.macys.com/is/image/MCY/12899987 </v>
      </c>
    </row>
    <row r="208" spans="1:11" ht="20.100000000000001" customHeight="1" x14ac:dyDescent="0.25">
      <c r="A208" s="13" t="s">
        <v>160</v>
      </c>
      <c r="B208" s="14">
        <v>13810619</v>
      </c>
      <c r="C208" s="8">
        <v>784851507054</v>
      </c>
      <c r="D208" s="6" t="s">
        <v>22</v>
      </c>
      <c r="E208" s="19">
        <v>1</v>
      </c>
      <c r="F208" s="15">
        <v>54.99</v>
      </c>
      <c r="G208" s="15">
        <v>54.99</v>
      </c>
      <c r="H208" s="7" t="s">
        <v>665</v>
      </c>
      <c r="I208" s="7" t="s">
        <v>672</v>
      </c>
      <c r="J208" s="7" t="s">
        <v>23</v>
      </c>
      <c r="K208" s="7" t="str">
        <f>HYPERLINK("http://slimages.macys.com/is/image/MCY/13720240 ")</f>
        <v xml:space="preserve">http://slimages.macys.com/is/image/MCY/13720240 </v>
      </c>
    </row>
    <row r="209" spans="1:11" ht="20.100000000000001" customHeight="1" x14ac:dyDescent="0.25">
      <c r="A209" s="13" t="s">
        <v>160</v>
      </c>
      <c r="B209" s="14">
        <v>13810619</v>
      </c>
      <c r="C209" s="8">
        <v>788904002107</v>
      </c>
      <c r="D209" s="6" t="s">
        <v>24</v>
      </c>
      <c r="E209" s="19">
        <v>1</v>
      </c>
      <c r="F209" s="15">
        <v>49.99</v>
      </c>
      <c r="G209" s="15">
        <v>49.99</v>
      </c>
      <c r="H209" s="7" t="s">
        <v>742</v>
      </c>
      <c r="I209" s="7" t="s">
        <v>684</v>
      </c>
      <c r="J209" s="7" t="s">
        <v>685</v>
      </c>
      <c r="K209" s="7" t="str">
        <f>HYPERLINK("http://slimages.macys.com/is/image/MCY/15717993 ")</f>
        <v xml:space="preserve">http://slimages.macys.com/is/image/MCY/15717993 </v>
      </c>
    </row>
    <row r="210" spans="1:11" ht="20.100000000000001" customHeight="1" x14ac:dyDescent="0.25">
      <c r="A210" s="13" t="s">
        <v>160</v>
      </c>
      <c r="B210" s="14">
        <v>13810619</v>
      </c>
      <c r="C210" s="8">
        <v>788904002237</v>
      </c>
      <c r="D210" s="6" t="s">
        <v>25</v>
      </c>
      <c r="E210" s="19">
        <v>1</v>
      </c>
      <c r="F210" s="15">
        <v>54.99</v>
      </c>
      <c r="G210" s="15">
        <v>54.99</v>
      </c>
      <c r="H210" s="7" t="s">
        <v>735</v>
      </c>
      <c r="I210" s="7" t="s">
        <v>684</v>
      </c>
      <c r="J210" s="7" t="s">
        <v>685</v>
      </c>
      <c r="K210" s="7" t="str">
        <f>HYPERLINK("http://slimages.macys.com/is/image/MCY/15716697 ")</f>
        <v xml:space="preserve">http://slimages.macys.com/is/image/MCY/15716697 </v>
      </c>
    </row>
    <row r="211" spans="1:11" ht="20.100000000000001" customHeight="1" x14ac:dyDescent="0.25">
      <c r="A211" s="13" t="s">
        <v>160</v>
      </c>
      <c r="B211" s="14">
        <v>13810619</v>
      </c>
      <c r="C211" s="8">
        <v>788904113353</v>
      </c>
      <c r="D211" s="6" t="s">
        <v>683</v>
      </c>
      <c r="E211" s="19">
        <v>1</v>
      </c>
      <c r="F211" s="15">
        <v>49.99</v>
      </c>
      <c r="G211" s="15">
        <v>49.99</v>
      </c>
      <c r="H211" s="7" t="s">
        <v>668</v>
      </c>
      <c r="I211" s="7" t="s">
        <v>684</v>
      </c>
      <c r="J211" s="7" t="s">
        <v>685</v>
      </c>
      <c r="K211" s="7" t="str">
        <f>HYPERLINK("http://slimages.macys.com/is/image/MCY/9873929 ")</f>
        <v xml:space="preserve">http://slimages.macys.com/is/image/MCY/9873929 </v>
      </c>
    </row>
    <row r="212" spans="1:11" ht="20.100000000000001" customHeight="1" x14ac:dyDescent="0.25">
      <c r="A212" s="13" t="s">
        <v>160</v>
      </c>
      <c r="B212" s="14">
        <v>13810619</v>
      </c>
      <c r="C212" s="8">
        <v>788904113353</v>
      </c>
      <c r="D212" s="6" t="s">
        <v>683</v>
      </c>
      <c r="E212" s="19">
        <v>2</v>
      </c>
      <c r="F212" s="15">
        <v>49.99</v>
      </c>
      <c r="G212" s="15">
        <v>99.98</v>
      </c>
      <c r="H212" s="7" t="s">
        <v>668</v>
      </c>
      <c r="I212" s="7" t="s">
        <v>684</v>
      </c>
      <c r="J212" s="7" t="s">
        <v>685</v>
      </c>
      <c r="K212" s="7" t="str">
        <f>HYPERLINK("http://slimages.macys.com/is/image/MCY/9873929 ")</f>
        <v xml:space="preserve">http://slimages.macys.com/is/image/MCY/9873929 </v>
      </c>
    </row>
    <row r="213" spans="1:11" ht="20.100000000000001" customHeight="1" x14ac:dyDescent="0.25">
      <c r="A213" s="13" t="s">
        <v>160</v>
      </c>
      <c r="B213" s="14">
        <v>13810619</v>
      </c>
      <c r="C213" s="8">
        <v>788904130664</v>
      </c>
      <c r="D213" s="6" t="s">
        <v>891</v>
      </c>
      <c r="E213" s="19">
        <v>1</v>
      </c>
      <c r="F213" s="15">
        <v>39.99</v>
      </c>
      <c r="G213" s="15">
        <v>39.99</v>
      </c>
      <c r="H213" s="7" t="s">
        <v>668</v>
      </c>
      <c r="I213" s="7" t="s">
        <v>684</v>
      </c>
      <c r="J213" s="7" t="s">
        <v>685</v>
      </c>
      <c r="K213" s="7" t="str">
        <f>HYPERLINK("http://slimages.macys.com/is/image/MCY/3895749 ")</f>
        <v xml:space="preserve">http://slimages.macys.com/is/image/MCY/3895749 </v>
      </c>
    </row>
    <row r="214" spans="1:11" ht="20.100000000000001" customHeight="1" x14ac:dyDescent="0.25">
      <c r="A214" s="13" t="s">
        <v>160</v>
      </c>
      <c r="B214" s="14">
        <v>13810619</v>
      </c>
      <c r="C214" s="8">
        <v>788904130671</v>
      </c>
      <c r="D214" s="6" t="s">
        <v>737</v>
      </c>
      <c r="E214" s="19">
        <v>1</v>
      </c>
      <c r="F214" s="15">
        <v>39.99</v>
      </c>
      <c r="G214" s="15">
        <v>39.99</v>
      </c>
      <c r="H214" s="7" t="s">
        <v>668</v>
      </c>
      <c r="I214" s="7" t="s">
        <v>684</v>
      </c>
      <c r="J214" s="7" t="s">
        <v>685</v>
      </c>
      <c r="K214" s="7" t="str">
        <f>HYPERLINK("http://slimages.macys.com/is/image/MCY/3895749 ")</f>
        <v xml:space="preserve">http://slimages.macys.com/is/image/MCY/3895749 </v>
      </c>
    </row>
    <row r="215" spans="1:11" ht="20.100000000000001" customHeight="1" x14ac:dyDescent="0.25">
      <c r="A215" s="13" t="s">
        <v>160</v>
      </c>
      <c r="B215" s="14">
        <v>13810619</v>
      </c>
      <c r="C215" s="8">
        <v>788904130909</v>
      </c>
      <c r="D215" s="6" t="s">
        <v>26</v>
      </c>
      <c r="E215" s="19">
        <v>1</v>
      </c>
      <c r="F215" s="15">
        <v>39.99</v>
      </c>
      <c r="G215" s="15">
        <v>39.99</v>
      </c>
      <c r="H215" s="7" t="s">
        <v>665</v>
      </c>
      <c r="I215" s="7" t="s">
        <v>684</v>
      </c>
      <c r="J215" s="7" t="s">
        <v>685</v>
      </c>
      <c r="K215" s="7" t="str">
        <f>HYPERLINK("http://slimages.macys.com/is/image/MCY/3895749 ")</f>
        <v xml:space="preserve">http://slimages.macys.com/is/image/MCY/3895749 </v>
      </c>
    </row>
    <row r="216" spans="1:11" ht="20.100000000000001" customHeight="1" x14ac:dyDescent="0.25">
      <c r="A216" s="13" t="s">
        <v>160</v>
      </c>
      <c r="B216" s="14">
        <v>13810619</v>
      </c>
      <c r="C216" s="8">
        <v>788904135751</v>
      </c>
      <c r="D216" s="6" t="s">
        <v>27</v>
      </c>
      <c r="E216" s="19">
        <v>2</v>
      </c>
      <c r="F216" s="15">
        <v>39.99</v>
      </c>
      <c r="G216" s="15">
        <v>79.98</v>
      </c>
      <c r="H216" s="7" t="s">
        <v>711</v>
      </c>
      <c r="I216" s="7" t="s">
        <v>684</v>
      </c>
      <c r="J216" s="7" t="s">
        <v>685</v>
      </c>
      <c r="K216" s="7" t="str">
        <f>HYPERLINK("http://slimages.macys.com/is/image/MCY/3895749 ")</f>
        <v xml:space="preserve">http://slimages.macys.com/is/image/MCY/3895749 </v>
      </c>
    </row>
    <row r="217" spans="1:11" ht="20.100000000000001" customHeight="1" x14ac:dyDescent="0.25">
      <c r="A217" s="13" t="s">
        <v>160</v>
      </c>
      <c r="B217" s="14">
        <v>13810619</v>
      </c>
      <c r="C217" s="8">
        <v>788904802004</v>
      </c>
      <c r="D217" s="6" t="s">
        <v>28</v>
      </c>
      <c r="E217" s="19">
        <v>1</v>
      </c>
      <c r="F217" s="15">
        <v>54.99</v>
      </c>
      <c r="G217" s="15">
        <v>54.99</v>
      </c>
      <c r="H217" s="7" t="s">
        <v>770</v>
      </c>
      <c r="I217" s="7" t="s">
        <v>669</v>
      </c>
      <c r="J217" s="7" t="s">
        <v>685</v>
      </c>
      <c r="K217" s="7" t="str">
        <f>HYPERLINK("http://slimages.macys.com/is/image/MCY/16911868 ")</f>
        <v xml:space="preserve">http://slimages.macys.com/is/image/MCY/16911868 </v>
      </c>
    </row>
    <row r="218" spans="1:11" ht="20.100000000000001" customHeight="1" x14ac:dyDescent="0.25">
      <c r="A218" s="13" t="s">
        <v>160</v>
      </c>
      <c r="B218" s="14">
        <v>13810619</v>
      </c>
      <c r="C218" s="8">
        <v>800298715798</v>
      </c>
      <c r="D218" s="6" t="s">
        <v>1195</v>
      </c>
      <c r="E218" s="19">
        <v>1</v>
      </c>
      <c r="F218" s="15">
        <v>179.99</v>
      </c>
      <c r="G218" s="15">
        <v>179.99</v>
      </c>
      <c r="H218" s="7" t="s">
        <v>671</v>
      </c>
      <c r="I218" s="7" t="s">
        <v>719</v>
      </c>
      <c r="J218" s="7" t="s">
        <v>743</v>
      </c>
      <c r="K218" s="7" t="str">
        <f>HYPERLINK("http://slimages.macys.com/is/image/MCY/17286464 ")</f>
        <v xml:space="preserve">http://slimages.macys.com/is/image/MCY/17286464 </v>
      </c>
    </row>
    <row r="219" spans="1:11" ht="20.100000000000001" customHeight="1" x14ac:dyDescent="0.25">
      <c r="A219" s="13" t="s">
        <v>160</v>
      </c>
      <c r="B219" s="14">
        <v>13810619</v>
      </c>
      <c r="C219" s="8">
        <v>814168023487</v>
      </c>
      <c r="D219" s="6" t="s">
        <v>29</v>
      </c>
      <c r="E219" s="19">
        <v>1</v>
      </c>
      <c r="F219" s="15">
        <v>59.99</v>
      </c>
      <c r="G219" s="15">
        <v>59.99</v>
      </c>
      <c r="H219" s="7" t="s">
        <v>668</v>
      </c>
      <c r="I219" s="7" t="s">
        <v>669</v>
      </c>
      <c r="J219" s="7" t="s">
        <v>810</v>
      </c>
      <c r="K219" s="7" t="str">
        <f>HYPERLINK("http://slimages.macys.com/is/image/MCY/14306620 ")</f>
        <v xml:space="preserve">http://slimages.macys.com/is/image/MCY/14306620 </v>
      </c>
    </row>
    <row r="220" spans="1:11" ht="20.100000000000001" customHeight="1" x14ac:dyDescent="0.25">
      <c r="A220" s="13" t="s">
        <v>160</v>
      </c>
      <c r="B220" s="14">
        <v>13810619</v>
      </c>
      <c r="C220" s="8">
        <v>840444131454</v>
      </c>
      <c r="D220" s="6" t="s">
        <v>30</v>
      </c>
      <c r="E220" s="19">
        <v>1</v>
      </c>
      <c r="F220" s="15">
        <v>288.99</v>
      </c>
      <c r="G220" s="15">
        <v>288.99</v>
      </c>
      <c r="H220" s="7" t="s">
        <v>31</v>
      </c>
      <c r="I220" s="7" t="s">
        <v>672</v>
      </c>
      <c r="J220" s="7" t="s">
        <v>673</v>
      </c>
      <c r="K220" s="7" t="str">
        <f>HYPERLINK("http://slimages.macys.com/is/image/MCY/10780889 ")</f>
        <v xml:space="preserve">http://slimages.macys.com/is/image/MCY/10780889 </v>
      </c>
    </row>
    <row r="221" spans="1:11" ht="20.100000000000001" customHeight="1" x14ac:dyDescent="0.25">
      <c r="A221" s="13" t="s">
        <v>160</v>
      </c>
      <c r="B221" s="14">
        <v>13810619</v>
      </c>
      <c r="C221" s="8">
        <v>840970158468</v>
      </c>
      <c r="D221" s="6" t="s">
        <v>32</v>
      </c>
      <c r="E221" s="19">
        <v>1</v>
      </c>
      <c r="F221" s="15">
        <v>99.99</v>
      </c>
      <c r="G221" s="15">
        <v>99.99</v>
      </c>
      <c r="H221" s="7" t="s">
        <v>732</v>
      </c>
      <c r="I221" s="7" t="s">
        <v>674</v>
      </c>
      <c r="J221" s="7" t="s">
        <v>726</v>
      </c>
      <c r="K221" s="7" t="str">
        <f>HYPERLINK("http://slimages.macys.com/is/image/MCY/14425215 ")</f>
        <v xml:space="preserve">http://slimages.macys.com/is/image/MCY/14425215 </v>
      </c>
    </row>
    <row r="222" spans="1:11" ht="20.100000000000001" customHeight="1" x14ac:dyDescent="0.25">
      <c r="A222" s="13" t="s">
        <v>160</v>
      </c>
      <c r="B222" s="14">
        <v>13810619</v>
      </c>
      <c r="C222" s="8">
        <v>841278174648</v>
      </c>
      <c r="D222" s="6" t="s">
        <v>33</v>
      </c>
      <c r="E222" s="19">
        <v>1</v>
      </c>
      <c r="F222" s="15">
        <v>24.99</v>
      </c>
      <c r="G222" s="15">
        <v>24.99</v>
      </c>
      <c r="H222" s="7" t="s">
        <v>698</v>
      </c>
      <c r="I222" s="7" t="s">
        <v>672</v>
      </c>
      <c r="J222" s="7" t="s">
        <v>939</v>
      </c>
      <c r="K222" s="7" t="str">
        <f>HYPERLINK("http://slimages.macys.com/is/image/MCY/19242171 ")</f>
        <v xml:space="preserve">http://slimages.macys.com/is/image/MCY/19242171 </v>
      </c>
    </row>
    <row r="223" spans="1:11" ht="20.100000000000001" customHeight="1" x14ac:dyDescent="0.25">
      <c r="A223" s="13" t="s">
        <v>160</v>
      </c>
      <c r="B223" s="14">
        <v>13810619</v>
      </c>
      <c r="C223" s="8">
        <v>842933152902</v>
      </c>
      <c r="D223" s="6" t="s">
        <v>34</v>
      </c>
      <c r="E223" s="19">
        <v>2</v>
      </c>
      <c r="F223" s="15">
        <v>49.99</v>
      </c>
      <c r="G223" s="15">
        <v>99.98</v>
      </c>
      <c r="H223" s="7" t="s">
        <v>677</v>
      </c>
      <c r="I223" s="7" t="s">
        <v>666</v>
      </c>
      <c r="J223" s="7" t="s">
        <v>678</v>
      </c>
      <c r="K223" s="7" t="str">
        <f>HYPERLINK("http://slimages.macys.com/is/image/MCY/10681601 ")</f>
        <v xml:space="preserve">http://slimages.macys.com/is/image/MCY/10681601 </v>
      </c>
    </row>
    <row r="224" spans="1:11" ht="20.100000000000001" customHeight="1" x14ac:dyDescent="0.25">
      <c r="A224" s="13" t="s">
        <v>160</v>
      </c>
      <c r="B224" s="14">
        <v>13810619</v>
      </c>
      <c r="C224" s="8">
        <v>843145113965</v>
      </c>
      <c r="D224" s="6" t="s">
        <v>35</v>
      </c>
      <c r="E224" s="19">
        <v>1</v>
      </c>
      <c r="F224" s="15">
        <v>199.99</v>
      </c>
      <c r="G224" s="15">
        <v>199.99</v>
      </c>
      <c r="H224" s="7"/>
      <c r="I224" s="7" t="s">
        <v>672</v>
      </c>
      <c r="J224" s="7" t="s">
        <v>673</v>
      </c>
      <c r="K224" s="7" t="str">
        <f>HYPERLINK("http://slimages.macys.com/is/image/MCY/11250421 ")</f>
        <v xml:space="preserve">http://slimages.macys.com/is/image/MCY/11250421 </v>
      </c>
    </row>
    <row r="225" spans="1:11" ht="20.100000000000001" customHeight="1" x14ac:dyDescent="0.25">
      <c r="A225" s="13" t="s">
        <v>160</v>
      </c>
      <c r="B225" s="14">
        <v>13810619</v>
      </c>
      <c r="C225" s="8">
        <v>846339071966</v>
      </c>
      <c r="D225" s="6" t="s">
        <v>36</v>
      </c>
      <c r="E225" s="19">
        <v>1</v>
      </c>
      <c r="F225" s="15">
        <v>59.99</v>
      </c>
      <c r="G225" s="15">
        <v>59.99</v>
      </c>
      <c r="H225" s="7" t="s">
        <v>754</v>
      </c>
      <c r="I225" s="7" t="s">
        <v>689</v>
      </c>
      <c r="J225" s="7" t="s">
        <v>690</v>
      </c>
      <c r="K225" s="7" t="str">
        <f>HYPERLINK("http://slimages.macys.com/is/image/MCY/8437848 ")</f>
        <v xml:space="preserve">http://slimages.macys.com/is/image/MCY/8437848 </v>
      </c>
    </row>
    <row r="226" spans="1:11" ht="20.100000000000001" customHeight="1" x14ac:dyDescent="0.25">
      <c r="A226" s="13" t="s">
        <v>160</v>
      </c>
      <c r="B226" s="14">
        <v>13810619</v>
      </c>
      <c r="C226" s="8">
        <v>848742061275</v>
      </c>
      <c r="D226" s="6" t="s">
        <v>37</v>
      </c>
      <c r="E226" s="19">
        <v>1</v>
      </c>
      <c r="F226" s="15">
        <v>179.99</v>
      </c>
      <c r="G226" s="15">
        <v>179.99</v>
      </c>
      <c r="H226" s="7" t="s">
        <v>668</v>
      </c>
      <c r="I226" s="7" t="s">
        <v>674</v>
      </c>
      <c r="J226" s="7" t="s">
        <v>675</v>
      </c>
      <c r="K226" s="7" t="str">
        <f>HYPERLINK("http://slimages.macys.com/is/image/MCY/10981071 ")</f>
        <v xml:space="preserve">http://slimages.macys.com/is/image/MCY/10981071 </v>
      </c>
    </row>
    <row r="227" spans="1:11" ht="20.100000000000001" customHeight="1" x14ac:dyDescent="0.25">
      <c r="A227" s="13" t="s">
        <v>160</v>
      </c>
      <c r="B227" s="14">
        <v>13810619</v>
      </c>
      <c r="C227" s="8">
        <v>848742079737</v>
      </c>
      <c r="D227" s="6" t="s">
        <v>38</v>
      </c>
      <c r="E227" s="19">
        <v>1</v>
      </c>
      <c r="F227" s="15">
        <v>179.99</v>
      </c>
      <c r="G227" s="15">
        <v>179.99</v>
      </c>
      <c r="H227" s="7" t="s">
        <v>676</v>
      </c>
      <c r="I227" s="7" t="s">
        <v>674</v>
      </c>
      <c r="J227" s="7" t="s">
        <v>675</v>
      </c>
      <c r="K227" s="7" t="str">
        <f>HYPERLINK("http://slimages.macys.com/is/image/MCY/12750833 ")</f>
        <v xml:space="preserve">http://slimages.macys.com/is/image/MCY/12750833 </v>
      </c>
    </row>
    <row r="228" spans="1:11" ht="20.100000000000001" customHeight="1" x14ac:dyDescent="0.25">
      <c r="A228" s="13" t="s">
        <v>160</v>
      </c>
      <c r="B228" s="14">
        <v>13810619</v>
      </c>
      <c r="C228" s="8">
        <v>854130004489</v>
      </c>
      <c r="D228" s="6" t="s">
        <v>39</v>
      </c>
      <c r="E228" s="19">
        <v>2</v>
      </c>
      <c r="F228" s="15">
        <v>18.989999999999998</v>
      </c>
      <c r="G228" s="15">
        <v>37.979999999999997</v>
      </c>
      <c r="H228" s="7" t="s">
        <v>784</v>
      </c>
      <c r="I228" s="7" t="s">
        <v>666</v>
      </c>
      <c r="J228" s="7" t="s">
        <v>806</v>
      </c>
      <c r="K228" s="7" t="str">
        <f>HYPERLINK("http://slimages.macys.com/is/image/MCY/13057508 ")</f>
        <v xml:space="preserve">http://slimages.macys.com/is/image/MCY/13057508 </v>
      </c>
    </row>
    <row r="229" spans="1:11" ht="20.100000000000001" customHeight="1" x14ac:dyDescent="0.25">
      <c r="A229" s="13" t="s">
        <v>160</v>
      </c>
      <c r="B229" s="14">
        <v>13810619</v>
      </c>
      <c r="C229" s="8">
        <v>855031123460</v>
      </c>
      <c r="D229" s="6" t="s">
        <v>40</v>
      </c>
      <c r="E229" s="19">
        <v>1</v>
      </c>
      <c r="F229" s="15">
        <v>57.99</v>
      </c>
      <c r="G229" s="15">
        <v>57.99</v>
      </c>
      <c r="H229" s="7" t="s">
        <v>668</v>
      </c>
      <c r="I229" s="7" t="s">
        <v>736</v>
      </c>
      <c r="J229" s="7" t="s">
        <v>41</v>
      </c>
      <c r="K229" s="7" t="str">
        <f>HYPERLINK("http://slimages.macys.com/is/image/MCY/16461279 ")</f>
        <v xml:space="preserve">http://slimages.macys.com/is/image/MCY/16461279 </v>
      </c>
    </row>
    <row r="230" spans="1:11" ht="20.100000000000001" customHeight="1" x14ac:dyDescent="0.25">
      <c r="A230" s="13" t="s">
        <v>160</v>
      </c>
      <c r="B230" s="14">
        <v>13810619</v>
      </c>
      <c r="C230" s="8">
        <v>857762007835</v>
      </c>
      <c r="D230" s="6" t="s">
        <v>42</v>
      </c>
      <c r="E230" s="19">
        <v>1</v>
      </c>
      <c r="F230" s="15">
        <v>64.989999999999995</v>
      </c>
      <c r="G230" s="15">
        <v>64.989999999999995</v>
      </c>
      <c r="H230" s="7" t="s">
        <v>714</v>
      </c>
      <c r="I230" s="7" t="s">
        <v>682</v>
      </c>
      <c r="J230" s="7" t="s">
        <v>914</v>
      </c>
      <c r="K230" s="7" t="str">
        <f>HYPERLINK("http://slimages.macys.com/is/image/MCY/17520201 ")</f>
        <v xml:space="preserve">http://slimages.macys.com/is/image/MCY/17520201 </v>
      </c>
    </row>
    <row r="231" spans="1:11" ht="20.100000000000001" customHeight="1" x14ac:dyDescent="0.25">
      <c r="A231" s="13" t="s">
        <v>160</v>
      </c>
      <c r="B231" s="14">
        <v>13810619</v>
      </c>
      <c r="C231" s="8">
        <v>877512006093</v>
      </c>
      <c r="D231" s="6" t="s">
        <v>43</v>
      </c>
      <c r="E231" s="19">
        <v>1</v>
      </c>
      <c r="F231" s="15">
        <v>73.989999999999995</v>
      </c>
      <c r="G231" s="15">
        <v>73.989999999999995</v>
      </c>
      <c r="H231" s="7" t="s">
        <v>745</v>
      </c>
      <c r="I231" s="7" t="s">
        <v>672</v>
      </c>
      <c r="J231" s="7" t="s">
        <v>726</v>
      </c>
      <c r="K231" s="7" t="str">
        <f>HYPERLINK("http://slimages.macys.com/is/image/MCY/14540135 ")</f>
        <v xml:space="preserve">http://slimages.macys.com/is/image/MCY/14540135 </v>
      </c>
    </row>
    <row r="232" spans="1:11" ht="20.100000000000001" customHeight="1" x14ac:dyDescent="0.25">
      <c r="A232" s="13" t="s">
        <v>160</v>
      </c>
      <c r="B232" s="14">
        <v>13810619</v>
      </c>
      <c r="C232" s="8">
        <v>877512006147</v>
      </c>
      <c r="D232" s="6" t="s">
        <v>44</v>
      </c>
      <c r="E232" s="19">
        <v>2</v>
      </c>
      <c r="F232" s="15">
        <v>83.99</v>
      </c>
      <c r="G232" s="15">
        <v>167.98</v>
      </c>
      <c r="H232" s="7" t="s">
        <v>859</v>
      </c>
      <c r="I232" s="7" t="s">
        <v>672</v>
      </c>
      <c r="J232" s="7" t="s">
        <v>726</v>
      </c>
      <c r="K232" s="7" t="str">
        <f>HYPERLINK("http://slimages.macys.com/is/image/MCY/14516483 ")</f>
        <v xml:space="preserve">http://slimages.macys.com/is/image/MCY/14516483 </v>
      </c>
    </row>
    <row r="233" spans="1:11" ht="20.100000000000001" customHeight="1" x14ac:dyDescent="0.25">
      <c r="A233" s="13" t="s">
        <v>160</v>
      </c>
      <c r="B233" s="14">
        <v>13810619</v>
      </c>
      <c r="C233" s="8">
        <v>879074003466</v>
      </c>
      <c r="D233" s="6" t="s">
        <v>45</v>
      </c>
      <c r="E233" s="19">
        <v>1</v>
      </c>
      <c r="F233" s="15">
        <v>29.99</v>
      </c>
      <c r="G233" s="15">
        <v>29.99</v>
      </c>
      <c r="H233" s="7" t="s">
        <v>708</v>
      </c>
      <c r="I233" s="7" t="s">
        <v>682</v>
      </c>
      <c r="J233" s="7" t="s">
        <v>913</v>
      </c>
      <c r="K233" s="7" t="str">
        <f>HYPERLINK("http://slimages.macys.com/is/image/MCY/15605874 ")</f>
        <v xml:space="preserve">http://slimages.macys.com/is/image/MCY/15605874 </v>
      </c>
    </row>
    <row r="234" spans="1:11" ht="20.100000000000001" customHeight="1" x14ac:dyDescent="0.25">
      <c r="A234" s="13" t="s">
        <v>160</v>
      </c>
      <c r="B234" s="14">
        <v>13810619</v>
      </c>
      <c r="C234" s="8">
        <v>883893510425</v>
      </c>
      <c r="D234" s="6" t="s">
        <v>46</v>
      </c>
      <c r="E234" s="19">
        <v>1</v>
      </c>
      <c r="F234" s="15">
        <v>69.989999999999995</v>
      </c>
      <c r="G234" s="15">
        <v>69.989999999999995</v>
      </c>
      <c r="H234" s="7" t="s">
        <v>708</v>
      </c>
      <c r="I234" s="7" t="s">
        <v>689</v>
      </c>
      <c r="J234" s="7" t="s">
        <v>861</v>
      </c>
      <c r="K234" s="7" t="str">
        <f>HYPERLINK("http://slimages.macys.com/is/image/MCY/8999603 ")</f>
        <v xml:space="preserve">http://slimages.macys.com/is/image/MCY/8999603 </v>
      </c>
    </row>
    <row r="235" spans="1:11" ht="20.100000000000001" customHeight="1" x14ac:dyDescent="0.25">
      <c r="A235" s="13" t="s">
        <v>160</v>
      </c>
      <c r="B235" s="14">
        <v>13810619</v>
      </c>
      <c r="C235" s="8">
        <v>883893536371</v>
      </c>
      <c r="D235" s="6" t="s">
        <v>47</v>
      </c>
      <c r="E235" s="19">
        <v>1</v>
      </c>
      <c r="F235" s="15">
        <v>79.989999999999995</v>
      </c>
      <c r="G235" s="15">
        <v>79.989999999999995</v>
      </c>
      <c r="H235" s="7" t="s">
        <v>721</v>
      </c>
      <c r="I235" s="7" t="s">
        <v>689</v>
      </c>
      <c r="J235" s="7" t="s">
        <v>861</v>
      </c>
      <c r="K235" s="7" t="str">
        <f>HYPERLINK("http://slimages.macys.com/is/image/MCY/11807259 ")</f>
        <v xml:space="preserve">http://slimages.macys.com/is/image/MCY/11807259 </v>
      </c>
    </row>
    <row r="236" spans="1:11" ht="20.100000000000001" customHeight="1" x14ac:dyDescent="0.25">
      <c r="A236" s="13" t="s">
        <v>160</v>
      </c>
      <c r="B236" s="14">
        <v>13810619</v>
      </c>
      <c r="C236" s="8">
        <v>883893537989</v>
      </c>
      <c r="D236" s="6" t="s">
        <v>48</v>
      </c>
      <c r="E236" s="19">
        <v>1</v>
      </c>
      <c r="F236" s="15">
        <v>49.99</v>
      </c>
      <c r="G236" s="15">
        <v>49.99</v>
      </c>
      <c r="H236" s="7" t="s">
        <v>721</v>
      </c>
      <c r="I236" s="7" t="s">
        <v>723</v>
      </c>
      <c r="J236" s="7" t="s">
        <v>772</v>
      </c>
      <c r="K236" s="7" t="str">
        <f>HYPERLINK("http://slimages.macys.com/is/image/MCY/10312726 ")</f>
        <v xml:space="preserve">http://slimages.macys.com/is/image/MCY/10312726 </v>
      </c>
    </row>
    <row r="237" spans="1:11" ht="20.100000000000001" customHeight="1" x14ac:dyDescent="0.25">
      <c r="A237" s="13" t="s">
        <v>160</v>
      </c>
      <c r="B237" s="14">
        <v>13810619</v>
      </c>
      <c r="C237" s="8">
        <v>883893606197</v>
      </c>
      <c r="D237" s="6" t="s">
        <v>49</v>
      </c>
      <c r="E237" s="19">
        <v>1</v>
      </c>
      <c r="F237" s="15">
        <v>89.99</v>
      </c>
      <c r="G237" s="15">
        <v>89.99</v>
      </c>
      <c r="H237" s="7" t="s">
        <v>721</v>
      </c>
      <c r="I237" s="7" t="s">
        <v>719</v>
      </c>
      <c r="J237" s="7" t="s">
        <v>155</v>
      </c>
      <c r="K237" s="7" t="str">
        <f>HYPERLINK("http://slimages.macys.com/is/image/MCY/13039701 ")</f>
        <v xml:space="preserve">http://slimages.macys.com/is/image/MCY/13039701 </v>
      </c>
    </row>
    <row r="238" spans="1:11" ht="20.100000000000001" customHeight="1" x14ac:dyDescent="0.25">
      <c r="A238" s="13" t="s">
        <v>160</v>
      </c>
      <c r="B238" s="14">
        <v>13810619</v>
      </c>
      <c r="C238" s="8">
        <v>883893612556</v>
      </c>
      <c r="D238" s="6" t="s">
        <v>50</v>
      </c>
      <c r="E238" s="19">
        <v>1</v>
      </c>
      <c r="F238" s="15">
        <v>39.99</v>
      </c>
      <c r="G238" s="15">
        <v>39.99</v>
      </c>
      <c r="H238" s="7" t="s">
        <v>668</v>
      </c>
      <c r="I238" s="7" t="s">
        <v>723</v>
      </c>
      <c r="J238" s="7" t="s">
        <v>772</v>
      </c>
      <c r="K238" s="7" t="str">
        <f>HYPERLINK("http://slimages.macys.com/is/image/MCY/14828177 ")</f>
        <v xml:space="preserve">http://slimages.macys.com/is/image/MCY/14828177 </v>
      </c>
    </row>
    <row r="239" spans="1:11" ht="20.100000000000001" customHeight="1" x14ac:dyDescent="0.25">
      <c r="A239" s="13" t="s">
        <v>160</v>
      </c>
      <c r="B239" s="14">
        <v>13810619</v>
      </c>
      <c r="C239" s="8">
        <v>885308486202</v>
      </c>
      <c r="D239" s="6" t="s">
        <v>51</v>
      </c>
      <c r="E239" s="19">
        <v>1</v>
      </c>
      <c r="F239" s="15">
        <v>24.99</v>
      </c>
      <c r="G239" s="15">
        <v>24.99</v>
      </c>
      <c r="H239" s="7" t="s">
        <v>721</v>
      </c>
      <c r="I239" s="7" t="s">
        <v>674</v>
      </c>
      <c r="J239" s="7" t="s">
        <v>848</v>
      </c>
      <c r="K239" s="7" t="str">
        <f>HYPERLINK("http://slimages.macys.com/is/image/MCY/12242648 ")</f>
        <v xml:space="preserve">http://slimages.macys.com/is/image/MCY/12242648 </v>
      </c>
    </row>
    <row r="240" spans="1:11" ht="20.100000000000001" customHeight="1" x14ac:dyDescent="0.25">
      <c r="A240" s="13" t="s">
        <v>160</v>
      </c>
      <c r="B240" s="14">
        <v>13810619</v>
      </c>
      <c r="C240" s="8">
        <v>733002875320</v>
      </c>
      <c r="D240" s="6" t="s">
        <v>52</v>
      </c>
      <c r="E240" s="19">
        <v>1</v>
      </c>
      <c r="F240" s="15">
        <v>99.99</v>
      </c>
      <c r="G240" s="15">
        <v>99.99</v>
      </c>
      <c r="H240" s="7" t="s">
        <v>668</v>
      </c>
      <c r="I240" s="7" t="s">
        <v>680</v>
      </c>
      <c r="J240" s="7" t="s">
        <v>733</v>
      </c>
      <c r="K240" s="7"/>
    </row>
    <row r="241" spans="1:11" ht="20.100000000000001" customHeight="1" x14ac:dyDescent="0.25">
      <c r="A241" s="13" t="s">
        <v>160</v>
      </c>
      <c r="B241" s="14">
        <v>13810619</v>
      </c>
      <c r="C241" s="8">
        <v>29927586497</v>
      </c>
      <c r="D241" s="6" t="s">
        <v>53</v>
      </c>
      <c r="E241" s="19">
        <v>1</v>
      </c>
      <c r="F241" s="15">
        <v>19.989999999999998</v>
      </c>
      <c r="G241" s="15">
        <v>19.989999999999998</v>
      </c>
      <c r="H241" s="7" t="s">
        <v>773</v>
      </c>
      <c r="I241" s="7" t="s">
        <v>674</v>
      </c>
      <c r="J241" s="7" t="s">
        <v>702</v>
      </c>
      <c r="K241" s="7"/>
    </row>
    <row r="242" spans="1:11" ht="20.100000000000001" customHeight="1" x14ac:dyDescent="0.25">
      <c r="A242" s="13" t="s">
        <v>160</v>
      </c>
      <c r="B242" s="14">
        <v>13810619</v>
      </c>
      <c r="C242" s="8">
        <v>191790054219</v>
      </c>
      <c r="D242" s="6" t="s">
        <v>54</v>
      </c>
      <c r="E242" s="19">
        <v>1</v>
      </c>
      <c r="F242" s="15">
        <v>49.99</v>
      </c>
      <c r="G242" s="15">
        <v>49.99</v>
      </c>
      <c r="H242" s="7" t="s">
        <v>677</v>
      </c>
      <c r="I242" s="7" t="s">
        <v>666</v>
      </c>
      <c r="J242" s="7" t="s">
        <v>706</v>
      </c>
      <c r="K242" s="7"/>
    </row>
    <row r="243" spans="1:11" ht="20.100000000000001" customHeight="1" x14ac:dyDescent="0.25">
      <c r="A243" s="13" t="s">
        <v>160</v>
      </c>
      <c r="B243" s="14">
        <v>13810619</v>
      </c>
      <c r="C243" s="8">
        <v>733003657949</v>
      </c>
      <c r="D243" s="6" t="s">
        <v>55</v>
      </c>
      <c r="E243" s="19">
        <v>1</v>
      </c>
      <c r="F243" s="15">
        <v>109.99</v>
      </c>
      <c r="G243" s="15">
        <v>109.99</v>
      </c>
      <c r="H243" s="7" t="s">
        <v>668</v>
      </c>
      <c r="I243" s="7" t="s">
        <v>680</v>
      </c>
      <c r="J243" s="7" t="s">
        <v>733</v>
      </c>
      <c r="K243" s="7"/>
    </row>
    <row r="244" spans="1:11" ht="20.100000000000001" customHeight="1" x14ac:dyDescent="0.25">
      <c r="A244" s="13" t="s">
        <v>160</v>
      </c>
      <c r="B244" s="14">
        <v>13810619</v>
      </c>
      <c r="C244" s="8">
        <v>840037210207</v>
      </c>
      <c r="D244" s="6" t="s">
        <v>56</v>
      </c>
      <c r="E244" s="19">
        <v>1</v>
      </c>
      <c r="F244" s="15">
        <v>29.99</v>
      </c>
      <c r="G244" s="15">
        <v>29.99</v>
      </c>
      <c r="H244" s="7" t="s">
        <v>714</v>
      </c>
      <c r="I244" s="7" t="s">
        <v>752</v>
      </c>
      <c r="J244" s="7" t="s">
        <v>920</v>
      </c>
      <c r="K244" s="7"/>
    </row>
    <row r="245" spans="1:11" ht="20.100000000000001" customHeight="1" x14ac:dyDescent="0.25">
      <c r="A245" s="13" t="s">
        <v>160</v>
      </c>
      <c r="B245" s="14">
        <v>13810619</v>
      </c>
      <c r="C245" s="8">
        <v>735732639609</v>
      </c>
      <c r="D245" s="6" t="s">
        <v>57</v>
      </c>
      <c r="E245" s="19">
        <v>1</v>
      </c>
      <c r="F245" s="15">
        <v>9.99</v>
      </c>
      <c r="G245" s="15">
        <v>9.99</v>
      </c>
      <c r="H245" s="7" t="s">
        <v>704</v>
      </c>
      <c r="I245" s="7" t="s">
        <v>674</v>
      </c>
      <c r="J245" s="7" t="s">
        <v>157</v>
      </c>
      <c r="K245" s="7"/>
    </row>
    <row r="246" spans="1:11" ht="20.100000000000001" customHeight="1" x14ac:dyDescent="0.25">
      <c r="A246" s="13" t="s">
        <v>160</v>
      </c>
      <c r="B246" s="14">
        <v>13810619</v>
      </c>
      <c r="C246" s="8">
        <v>47218349248</v>
      </c>
      <c r="D246" s="6" t="s">
        <v>58</v>
      </c>
      <c r="E246" s="19">
        <v>1</v>
      </c>
      <c r="F246" s="15">
        <v>54.99</v>
      </c>
      <c r="G246" s="15">
        <v>54.99</v>
      </c>
      <c r="H246" s="7" t="s">
        <v>707</v>
      </c>
      <c r="I246" s="7" t="s">
        <v>674</v>
      </c>
      <c r="J246" s="7" t="s">
        <v>59</v>
      </c>
      <c r="K246" s="7"/>
    </row>
    <row r="247" spans="1:11" ht="20.100000000000001" customHeight="1" x14ac:dyDescent="0.25">
      <c r="A247" s="13" t="s">
        <v>160</v>
      </c>
      <c r="B247" s="14">
        <v>13810619</v>
      </c>
      <c r="C247" s="8">
        <v>191790054257</v>
      </c>
      <c r="D247" s="6" t="s">
        <v>60</v>
      </c>
      <c r="E247" s="19">
        <v>1</v>
      </c>
      <c r="F247" s="15">
        <v>49.99</v>
      </c>
      <c r="G247" s="15">
        <v>49.99</v>
      </c>
      <c r="H247" s="7" t="s">
        <v>676</v>
      </c>
      <c r="I247" s="7" t="s">
        <v>666</v>
      </c>
      <c r="J247" s="7" t="s">
        <v>706</v>
      </c>
      <c r="K247" s="7"/>
    </row>
    <row r="248" spans="1:11" ht="20.100000000000001" customHeight="1" x14ac:dyDescent="0.25">
      <c r="A248" s="13" t="s">
        <v>160</v>
      </c>
      <c r="B248" s="14">
        <v>13810619</v>
      </c>
      <c r="C248" s="8">
        <v>191790054196</v>
      </c>
      <c r="D248" s="6" t="s">
        <v>422</v>
      </c>
      <c r="E248" s="19">
        <v>1</v>
      </c>
      <c r="F248" s="15">
        <v>49.99</v>
      </c>
      <c r="G248" s="15">
        <v>49.99</v>
      </c>
      <c r="H248" s="7" t="s">
        <v>668</v>
      </c>
      <c r="I248" s="7" t="s">
        <v>666</v>
      </c>
      <c r="J248" s="7" t="s">
        <v>706</v>
      </c>
      <c r="K248" s="7"/>
    </row>
    <row r="249" spans="1:11" ht="20.100000000000001" customHeight="1" x14ac:dyDescent="0.25">
      <c r="A249" s="13" t="s">
        <v>160</v>
      </c>
      <c r="B249" s="14">
        <v>13810619</v>
      </c>
      <c r="C249" s="8">
        <v>733003557898</v>
      </c>
      <c r="D249" s="6" t="s">
        <v>61</v>
      </c>
      <c r="E249" s="19">
        <v>2</v>
      </c>
      <c r="F249" s="15">
        <v>39.99</v>
      </c>
      <c r="G249" s="15">
        <v>79.98</v>
      </c>
      <c r="H249" s="7" t="s">
        <v>671</v>
      </c>
      <c r="I249" s="7" t="s">
        <v>904</v>
      </c>
      <c r="J249" s="7" t="s">
        <v>153</v>
      </c>
      <c r="K249" s="7"/>
    </row>
    <row r="250" spans="1:11" ht="20.100000000000001" customHeight="1" x14ac:dyDescent="0.25">
      <c r="A250" s="13" t="s">
        <v>160</v>
      </c>
      <c r="B250" s="14">
        <v>13810619</v>
      </c>
      <c r="C250" s="8">
        <v>825063080499</v>
      </c>
      <c r="D250" s="6" t="s">
        <v>62</v>
      </c>
      <c r="E250" s="19">
        <v>1</v>
      </c>
      <c r="F250" s="15">
        <v>31.99</v>
      </c>
      <c r="G250" s="15">
        <v>31.99</v>
      </c>
      <c r="H250" s="7" t="s">
        <v>671</v>
      </c>
      <c r="I250" s="7" t="s">
        <v>666</v>
      </c>
      <c r="J250" s="7" t="s">
        <v>63</v>
      </c>
      <c r="K250" s="7"/>
    </row>
    <row r="251" spans="1:11" ht="20.100000000000001" customHeight="1" x14ac:dyDescent="0.25">
      <c r="A251" s="13" t="s">
        <v>160</v>
      </c>
      <c r="B251" s="14">
        <v>13810619</v>
      </c>
      <c r="C251" s="8">
        <v>733003940058</v>
      </c>
      <c r="D251" s="6" t="s">
        <v>427</v>
      </c>
      <c r="E251" s="19">
        <v>2</v>
      </c>
      <c r="F251" s="15">
        <v>99.99</v>
      </c>
      <c r="G251" s="15">
        <v>199.98</v>
      </c>
      <c r="H251" s="7" t="s">
        <v>704</v>
      </c>
      <c r="I251" s="7" t="s">
        <v>797</v>
      </c>
      <c r="J251" s="7" t="s">
        <v>825</v>
      </c>
      <c r="K251" s="7"/>
    </row>
    <row r="252" spans="1:11" ht="20.100000000000001" customHeight="1" x14ac:dyDescent="0.25">
      <c r="A252" s="13" t="s">
        <v>160</v>
      </c>
      <c r="B252" s="14">
        <v>13810619</v>
      </c>
      <c r="C252" s="8">
        <v>733002505302</v>
      </c>
      <c r="D252" s="6" t="s">
        <v>64</v>
      </c>
      <c r="E252" s="19">
        <v>2</v>
      </c>
      <c r="F252" s="15">
        <v>79.989999999999995</v>
      </c>
      <c r="G252" s="15">
        <v>159.97999999999999</v>
      </c>
      <c r="H252" s="7" t="s">
        <v>671</v>
      </c>
      <c r="I252" s="7" t="s">
        <v>680</v>
      </c>
      <c r="J252" s="7" t="s">
        <v>733</v>
      </c>
      <c r="K252" s="7"/>
    </row>
    <row r="253" spans="1:11" ht="20.100000000000001" customHeight="1" x14ac:dyDescent="0.25">
      <c r="A253" s="13" t="s">
        <v>160</v>
      </c>
      <c r="B253" s="14">
        <v>13810619</v>
      </c>
      <c r="C253" s="8">
        <v>733003878320</v>
      </c>
      <c r="D253" s="6" t="s">
        <v>65</v>
      </c>
      <c r="E253" s="19">
        <v>1</v>
      </c>
      <c r="F253" s="15">
        <v>39.99</v>
      </c>
      <c r="G253" s="15">
        <v>39.99</v>
      </c>
      <c r="H253" s="7" t="s">
        <v>704</v>
      </c>
      <c r="I253" s="7" t="s">
        <v>1236</v>
      </c>
      <c r="J253" s="7" t="s">
        <v>147</v>
      </c>
      <c r="K253" s="7"/>
    </row>
    <row r="254" spans="1:11" ht="20.100000000000001" customHeight="1" x14ac:dyDescent="0.25">
      <c r="A254" s="13" t="s">
        <v>160</v>
      </c>
      <c r="B254" s="14">
        <v>13810619</v>
      </c>
      <c r="C254" s="8">
        <v>733002798513</v>
      </c>
      <c r="D254" s="6" t="s">
        <v>66</v>
      </c>
      <c r="E254" s="19">
        <v>1</v>
      </c>
      <c r="F254" s="15">
        <v>109.99</v>
      </c>
      <c r="G254" s="15">
        <v>109.99</v>
      </c>
      <c r="H254" s="7" t="s">
        <v>676</v>
      </c>
      <c r="I254" s="7" t="s">
        <v>808</v>
      </c>
      <c r="J254" s="7" t="s">
        <v>809</v>
      </c>
      <c r="K254" s="7"/>
    </row>
    <row r="255" spans="1:11" ht="20.100000000000001" customHeight="1" x14ac:dyDescent="0.25">
      <c r="A255" s="13" t="s">
        <v>160</v>
      </c>
      <c r="B255" s="14">
        <v>13810619</v>
      </c>
      <c r="C255" s="8">
        <v>679610838541</v>
      </c>
      <c r="D255" s="6" t="s">
        <v>492</v>
      </c>
      <c r="E255" s="19">
        <v>1</v>
      </c>
      <c r="F255" s="15">
        <v>59.99</v>
      </c>
      <c r="G255" s="15">
        <v>59.99</v>
      </c>
      <c r="H255" s="7" t="s">
        <v>711</v>
      </c>
      <c r="I255" s="7" t="s">
        <v>672</v>
      </c>
      <c r="J255" s="7" t="s">
        <v>774</v>
      </c>
      <c r="K255" s="7"/>
    </row>
    <row r="256" spans="1:11" ht="20.100000000000001" customHeight="1" x14ac:dyDescent="0.25">
      <c r="A256" s="13" t="s">
        <v>160</v>
      </c>
      <c r="B256" s="14">
        <v>13810619</v>
      </c>
      <c r="C256" s="8">
        <v>733002798483</v>
      </c>
      <c r="D256" s="6" t="s">
        <v>67</v>
      </c>
      <c r="E256" s="19">
        <v>1</v>
      </c>
      <c r="F256" s="15">
        <v>179.99</v>
      </c>
      <c r="G256" s="15">
        <v>179.99</v>
      </c>
      <c r="H256" s="7" t="s">
        <v>676</v>
      </c>
      <c r="I256" s="7" t="s">
        <v>808</v>
      </c>
      <c r="J256" s="7" t="s">
        <v>809</v>
      </c>
      <c r="K256" s="7"/>
    </row>
    <row r="257" spans="1:11" ht="20.100000000000001" customHeight="1" x14ac:dyDescent="0.25">
      <c r="A257" s="13" t="s">
        <v>160</v>
      </c>
      <c r="B257" s="14">
        <v>13810619</v>
      </c>
      <c r="C257" s="8">
        <v>783048158970</v>
      </c>
      <c r="D257" s="6" t="s">
        <v>68</v>
      </c>
      <c r="E257" s="19">
        <v>1</v>
      </c>
      <c r="F257" s="15">
        <v>62.99</v>
      </c>
      <c r="G257" s="15">
        <v>62.99</v>
      </c>
      <c r="H257" s="7" t="s">
        <v>676</v>
      </c>
      <c r="I257" s="7" t="s">
        <v>666</v>
      </c>
      <c r="J257" s="7" t="s">
        <v>739</v>
      </c>
      <c r="K257" s="7"/>
    </row>
    <row r="258" spans="1:11" ht="20.100000000000001" customHeight="1" x14ac:dyDescent="0.25">
      <c r="A258" s="13" t="s">
        <v>160</v>
      </c>
      <c r="B258" s="14">
        <v>13810619</v>
      </c>
      <c r="C258" s="8">
        <v>733004179341</v>
      </c>
      <c r="D258" s="6" t="s">
        <v>69</v>
      </c>
      <c r="E258" s="19">
        <v>1</v>
      </c>
      <c r="F258" s="15">
        <v>34.99</v>
      </c>
      <c r="G258" s="15">
        <v>34.99</v>
      </c>
      <c r="H258" s="7" t="s">
        <v>668</v>
      </c>
      <c r="I258" s="7" t="s">
        <v>694</v>
      </c>
      <c r="J258" s="7" t="s">
        <v>695</v>
      </c>
      <c r="K258" s="7"/>
    </row>
    <row r="259" spans="1:11" ht="20.100000000000001" customHeight="1" x14ac:dyDescent="0.25">
      <c r="A259" s="13" t="s">
        <v>160</v>
      </c>
      <c r="B259" s="14">
        <v>13810619</v>
      </c>
      <c r="C259" s="8">
        <v>733003557836</v>
      </c>
      <c r="D259" s="6" t="s">
        <v>70</v>
      </c>
      <c r="E259" s="19">
        <v>1</v>
      </c>
      <c r="F259" s="15">
        <v>64.989999999999995</v>
      </c>
      <c r="G259" s="15">
        <v>64.989999999999995</v>
      </c>
      <c r="H259" s="7" t="s">
        <v>701</v>
      </c>
      <c r="I259" s="7" t="s">
        <v>904</v>
      </c>
      <c r="J259" s="7" t="s">
        <v>153</v>
      </c>
      <c r="K259" s="7"/>
    </row>
    <row r="260" spans="1:11" ht="20.100000000000001" customHeight="1" x14ac:dyDescent="0.25">
      <c r="A260" s="13" t="s">
        <v>160</v>
      </c>
      <c r="B260" s="14">
        <v>13810619</v>
      </c>
      <c r="C260" s="8">
        <v>679610838022</v>
      </c>
      <c r="D260" s="6" t="s">
        <v>1291</v>
      </c>
      <c r="E260" s="19">
        <v>1</v>
      </c>
      <c r="F260" s="15">
        <v>29.99</v>
      </c>
      <c r="G260" s="15">
        <v>29.99</v>
      </c>
      <c r="H260" s="7" t="s">
        <v>676</v>
      </c>
      <c r="I260" s="7" t="s">
        <v>672</v>
      </c>
      <c r="J260" s="7" t="s">
        <v>774</v>
      </c>
      <c r="K260" s="7"/>
    </row>
    <row r="261" spans="1:11" ht="20.100000000000001" customHeight="1" x14ac:dyDescent="0.25">
      <c r="A261" s="13" t="s">
        <v>160</v>
      </c>
      <c r="B261" s="14">
        <v>13810619</v>
      </c>
      <c r="C261" s="8">
        <v>846216055140</v>
      </c>
      <c r="D261" s="6" t="s">
        <v>71</v>
      </c>
      <c r="E261" s="19">
        <v>2</v>
      </c>
      <c r="F261" s="15">
        <v>12.99</v>
      </c>
      <c r="G261" s="15">
        <v>25.98</v>
      </c>
      <c r="H261" s="7" t="s">
        <v>668</v>
      </c>
      <c r="I261" s="7" t="s">
        <v>1294</v>
      </c>
      <c r="J261" s="7" t="s">
        <v>72</v>
      </c>
      <c r="K261" s="7"/>
    </row>
    <row r="262" spans="1:11" ht="20.100000000000001" customHeight="1" x14ac:dyDescent="0.25">
      <c r="A262" s="13" t="s">
        <v>160</v>
      </c>
      <c r="B262" s="14">
        <v>13810619</v>
      </c>
      <c r="C262" s="8">
        <v>840073698090</v>
      </c>
      <c r="D262" s="6" t="s">
        <v>73</v>
      </c>
      <c r="E262" s="19">
        <v>1</v>
      </c>
      <c r="F262" s="15">
        <v>39.99</v>
      </c>
      <c r="G262" s="15">
        <v>39.99</v>
      </c>
      <c r="H262" s="7" t="s">
        <v>688</v>
      </c>
      <c r="I262" s="7" t="s">
        <v>666</v>
      </c>
      <c r="J262" s="7" t="s">
        <v>829</v>
      </c>
      <c r="K262" s="7"/>
    </row>
    <row r="263" spans="1:11" ht="20.100000000000001" customHeight="1" x14ac:dyDescent="0.25">
      <c r="A263" s="13" t="s">
        <v>160</v>
      </c>
      <c r="B263" s="14">
        <v>13810619</v>
      </c>
      <c r="C263" s="8">
        <v>679610838558</v>
      </c>
      <c r="D263" s="6" t="s">
        <v>438</v>
      </c>
      <c r="E263" s="19">
        <v>1</v>
      </c>
      <c r="F263" s="15">
        <v>59.99</v>
      </c>
      <c r="G263" s="15">
        <v>59.99</v>
      </c>
      <c r="H263" s="7" t="s">
        <v>711</v>
      </c>
      <c r="I263" s="7" t="s">
        <v>672</v>
      </c>
      <c r="J263" s="7" t="s">
        <v>774</v>
      </c>
      <c r="K263" s="7"/>
    </row>
    <row r="264" spans="1:11" ht="20.100000000000001" customHeight="1" x14ac:dyDescent="0.25">
      <c r="A264" s="13" t="s">
        <v>160</v>
      </c>
      <c r="B264" s="14">
        <v>13810619</v>
      </c>
      <c r="C264" s="8">
        <v>733003938888</v>
      </c>
      <c r="D264" s="6" t="s">
        <v>74</v>
      </c>
      <c r="E264" s="19">
        <v>1</v>
      </c>
      <c r="F264" s="15">
        <v>99.99</v>
      </c>
      <c r="G264" s="15">
        <v>99.99</v>
      </c>
      <c r="H264" s="7" t="s">
        <v>704</v>
      </c>
      <c r="I264" s="7" t="s">
        <v>797</v>
      </c>
      <c r="J264" s="7" t="s">
        <v>826</v>
      </c>
      <c r="K264" s="7"/>
    </row>
    <row r="265" spans="1:11" ht="20.100000000000001" customHeight="1" x14ac:dyDescent="0.25">
      <c r="A265" s="13" t="s">
        <v>160</v>
      </c>
      <c r="B265" s="14">
        <v>13810619</v>
      </c>
      <c r="C265" s="8">
        <v>400013532725</v>
      </c>
      <c r="D265" s="6" t="s">
        <v>713</v>
      </c>
      <c r="E265" s="19">
        <v>2</v>
      </c>
      <c r="F265" s="15">
        <v>40</v>
      </c>
      <c r="G265" s="15">
        <v>80</v>
      </c>
      <c r="H265" s="7" t="s">
        <v>714</v>
      </c>
      <c r="I265" s="7" t="s">
        <v>715</v>
      </c>
      <c r="J265" s="7" t="s">
        <v>716</v>
      </c>
      <c r="K265" s="7"/>
    </row>
    <row r="266" spans="1:11" ht="20.100000000000001" customHeight="1" x14ac:dyDescent="0.25">
      <c r="A266" s="13" t="s">
        <v>160</v>
      </c>
      <c r="B266" s="14">
        <v>13810619</v>
      </c>
      <c r="C266" s="8">
        <v>400013532725</v>
      </c>
      <c r="D266" s="6" t="s">
        <v>713</v>
      </c>
      <c r="E266" s="19">
        <v>7</v>
      </c>
      <c r="F266" s="15">
        <v>40</v>
      </c>
      <c r="G266" s="15">
        <v>280</v>
      </c>
      <c r="H266" s="7" t="s">
        <v>714</v>
      </c>
      <c r="I266" s="7" t="s">
        <v>715</v>
      </c>
      <c r="J266" s="7" t="s">
        <v>716</v>
      </c>
      <c r="K266" s="7"/>
    </row>
    <row r="267" spans="1:11" ht="20.100000000000001" customHeight="1" x14ac:dyDescent="0.25">
      <c r="A267" s="13" t="s">
        <v>160</v>
      </c>
      <c r="B267" s="14">
        <v>13810619</v>
      </c>
      <c r="C267" s="8">
        <v>400013532725</v>
      </c>
      <c r="D267" s="6" t="s">
        <v>713</v>
      </c>
      <c r="E267" s="19">
        <v>4</v>
      </c>
      <c r="F267" s="15">
        <v>40</v>
      </c>
      <c r="G267" s="15">
        <v>160</v>
      </c>
      <c r="H267" s="7" t="s">
        <v>714</v>
      </c>
      <c r="I267" s="7" t="s">
        <v>715</v>
      </c>
      <c r="J267" s="7" t="s">
        <v>716</v>
      </c>
      <c r="K267" s="7"/>
    </row>
    <row r="268" spans="1:11" ht="20.100000000000001" customHeight="1" x14ac:dyDescent="0.25">
      <c r="A268" s="13" t="s">
        <v>160</v>
      </c>
      <c r="B268" s="14">
        <v>13810619</v>
      </c>
      <c r="C268" s="8">
        <v>400013532725</v>
      </c>
      <c r="D268" s="6" t="s">
        <v>713</v>
      </c>
      <c r="E268" s="19">
        <v>4</v>
      </c>
      <c r="F268" s="15">
        <v>40</v>
      </c>
      <c r="G268" s="15">
        <v>160</v>
      </c>
      <c r="H268" s="7" t="s">
        <v>714</v>
      </c>
      <c r="I268" s="7" t="s">
        <v>715</v>
      </c>
      <c r="J268" s="7" t="s">
        <v>716</v>
      </c>
      <c r="K268" s="7"/>
    </row>
    <row r="269" spans="1:11" ht="20.100000000000001" customHeight="1" x14ac:dyDescent="0.25">
      <c r="A269" s="13" t="s">
        <v>160</v>
      </c>
      <c r="B269" s="14">
        <v>13810619</v>
      </c>
      <c r="C269" s="8">
        <v>400013532725</v>
      </c>
      <c r="D269" s="6" t="s">
        <v>713</v>
      </c>
      <c r="E269" s="19">
        <v>8</v>
      </c>
      <c r="F269" s="15">
        <v>40</v>
      </c>
      <c r="G269" s="15">
        <v>320</v>
      </c>
      <c r="H269" s="7" t="s">
        <v>714</v>
      </c>
      <c r="I269" s="7" t="s">
        <v>715</v>
      </c>
      <c r="J269" s="7" t="s">
        <v>716</v>
      </c>
      <c r="K269" s="7"/>
    </row>
    <row r="270" spans="1:11" ht="20.100000000000001" customHeight="1" x14ac:dyDescent="0.25">
      <c r="A270" s="13" t="s">
        <v>160</v>
      </c>
      <c r="B270" s="14">
        <v>13810619</v>
      </c>
      <c r="C270" s="8">
        <v>400013532725</v>
      </c>
      <c r="D270" s="6" t="s">
        <v>713</v>
      </c>
      <c r="E270" s="19">
        <v>1</v>
      </c>
      <c r="F270" s="15">
        <v>40</v>
      </c>
      <c r="G270" s="15">
        <v>40</v>
      </c>
      <c r="H270" s="7" t="s">
        <v>714</v>
      </c>
      <c r="I270" s="7" t="s">
        <v>715</v>
      </c>
      <c r="J270" s="7" t="s">
        <v>716</v>
      </c>
      <c r="K270" s="7"/>
    </row>
    <row r="271" spans="1:11" ht="20.100000000000001" customHeight="1" x14ac:dyDescent="0.25">
      <c r="A271" s="13" t="s">
        <v>160</v>
      </c>
      <c r="B271" s="14">
        <v>13810619</v>
      </c>
      <c r="C271" s="8">
        <v>733002640553</v>
      </c>
      <c r="D271" s="6" t="s">
        <v>75</v>
      </c>
      <c r="E271" s="19">
        <v>1</v>
      </c>
      <c r="F271" s="15">
        <v>119.99</v>
      </c>
      <c r="G271" s="15">
        <v>119.99</v>
      </c>
      <c r="H271" s="7" t="s">
        <v>711</v>
      </c>
      <c r="I271" s="7" t="s">
        <v>692</v>
      </c>
      <c r="J271" s="7" t="s">
        <v>912</v>
      </c>
      <c r="K271" s="7"/>
    </row>
    <row r="272" spans="1:11" ht="20.100000000000001" customHeight="1" x14ac:dyDescent="0.25">
      <c r="A272" s="13" t="s">
        <v>160</v>
      </c>
      <c r="B272" s="14">
        <v>13810619</v>
      </c>
      <c r="C272" s="8">
        <v>21864400799</v>
      </c>
      <c r="D272" s="6" t="s">
        <v>76</v>
      </c>
      <c r="E272" s="19">
        <v>1</v>
      </c>
      <c r="F272" s="15">
        <v>188</v>
      </c>
      <c r="G272" s="15">
        <v>188</v>
      </c>
      <c r="H272" s="7" t="s">
        <v>863</v>
      </c>
      <c r="I272" s="7" t="s">
        <v>836</v>
      </c>
      <c r="J272" s="7" t="s">
        <v>889</v>
      </c>
      <c r="K272" s="7"/>
    </row>
    <row r="273" spans="1:11" ht="20.100000000000001" customHeight="1" x14ac:dyDescent="0.25">
      <c r="A273" s="13" t="s">
        <v>160</v>
      </c>
      <c r="B273" s="14">
        <v>13810619</v>
      </c>
      <c r="C273" s="8">
        <v>883893686991</v>
      </c>
      <c r="D273" s="6" t="s">
        <v>77</v>
      </c>
      <c r="E273" s="19">
        <v>1</v>
      </c>
      <c r="F273" s="15">
        <v>129.99</v>
      </c>
      <c r="G273" s="15">
        <v>129.99</v>
      </c>
      <c r="H273" s="7" t="s">
        <v>717</v>
      </c>
      <c r="I273" s="7" t="s">
        <v>689</v>
      </c>
      <c r="J273" s="7" t="s">
        <v>861</v>
      </c>
      <c r="K273" s="7"/>
    </row>
    <row r="274" spans="1:11" ht="20.100000000000001" customHeight="1" x14ac:dyDescent="0.25">
      <c r="A274" s="13" t="s">
        <v>160</v>
      </c>
      <c r="B274" s="14">
        <v>13810619</v>
      </c>
      <c r="C274" s="8">
        <v>783048154453</v>
      </c>
      <c r="D274" s="6" t="s">
        <v>78</v>
      </c>
      <c r="E274" s="19">
        <v>1</v>
      </c>
      <c r="F274" s="15">
        <v>300</v>
      </c>
      <c r="G274" s="15">
        <v>300</v>
      </c>
      <c r="H274" s="7" t="s">
        <v>768</v>
      </c>
      <c r="I274" s="7" t="s">
        <v>689</v>
      </c>
      <c r="J274" s="7" t="s">
        <v>858</v>
      </c>
      <c r="K274" s="7"/>
    </row>
    <row r="275" spans="1:11" ht="20.100000000000001" customHeight="1" x14ac:dyDescent="0.25">
      <c r="A275" s="13" t="s">
        <v>160</v>
      </c>
      <c r="B275" s="14">
        <v>13810619</v>
      </c>
      <c r="C275" s="8">
        <v>734737674219</v>
      </c>
      <c r="D275" s="6" t="s">
        <v>79</v>
      </c>
      <c r="E275" s="19">
        <v>1</v>
      </c>
      <c r="F275" s="15">
        <v>79.989999999999995</v>
      </c>
      <c r="G275" s="15">
        <v>79.989999999999995</v>
      </c>
      <c r="H275" s="7" t="s">
        <v>676</v>
      </c>
      <c r="I275" s="7" t="s">
        <v>672</v>
      </c>
      <c r="J275" s="7" t="s">
        <v>696</v>
      </c>
      <c r="K275" s="7"/>
    </row>
    <row r="276" spans="1:11" ht="20.100000000000001" customHeight="1" x14ac:dyDescent="0.25">
      <c r="A276" s="13" t="s">
        <v>160</v>
      </c>
      <c r="B276" s="14">
        <v>13810619</v>
      </c>
      <c r="C276" s="8">
        <v>733003760113</v>
      </c>
      <c r="D276" s="6" t="s">
        <v>80</v>
      </c>
      <c r="E276" s="19">
        <v>2</v>
      </c>
      <c r="F276" s="15">
        <v>39.99</v>
      </c>
      <c r="G276" s="15">
        <v>79.98</v>
      </c>
      <c r="H276" s="7" t="s">
        <v>668</v>
      </c>
      <c r="I276" s="7" t="s">
        <v>694</v>
      </c>
      <c r="J276" s="7" t="s">
        <v>712</v>
      </c>
      <c r="K276" s="7"/>
    </row>
    <row r="277" spans="1:11" ht="20.100000000000001" customHeight="1" x14ac:dyDescent="0.25">
      <c r="A277" s="13" t="s">
        <v>160</v>
      </c>
      <c r="B277" s="14">
        <v>13810619</v>
      </c>
      <c r="C277" s="8">
        <v>733003878221</v>
      </c>
      <c r="D277" s="6" t="s">
        <v>81</v>
      </c>
      <c r="E277" s="19">
        <v>1</v>
      </c>
      <c r="F277" s="15">
        <v>119.99</v>
      </c>
      <c r="G277" s="15">
        <v>119.99</v>
      </c>
      <c r="H277" s="7" t="s">
        <v>704</v>
      </c>
      <c r="I277" s="7" t="s">
        <v>1236</v>
      </c>
      <c r="J277" s="7" t="s">
        <v>147</v>
      </c>
      <c r="K277" s="7"/>
    </row>
    <row r="278" spans="1:11" ht="20.100000000000001" customHeight="1" x14ac:dyDescent="0.25">
      <c r="A278" s="13" t="s">
        <v>160</v>
      </c>
      <c r="B278" s="14">
        <v>13810619</v>
      </c>
      <c r="C278" s="8">
        <v>789323390493</v>
      </c>
      <c r="D278" s="6" t="s">
        <v>82</v>
      </c>
      <c r="E278" s="19">
        <v>1</v>
      </c>
      <c r="F278" s="15">
        <v>44.99</v>
      </c>
      <c r="G278" s="15">
        <v>44.99</v>
      </c>
      <c r="H278" s="7" t="s">
        <v>707</v>
      </c>
      <c r="I278" s="7" t="s">
        <v>674</v>
      </c>
      <c r="J278" s="7" t="s">
        <v>847</v>
      </c>
      <c r="K278" s="7"/>
    </row>
    <row r="279" spans="1:11" ht="20.100000000000001" customHeight="1" x14ac:dyDescent="0.25">
      <c r="A279" s="13" t="s">
        <v>160</v>
      </c>
      <c r="B279" s="14">
        <v>13810619</v>
      </c>
      <c r="C279" s="8">
        <v>733003460976</v>
      </c>
      <c r="D279" s="6" t="s">
        <v>83</v>
      </c>
      <c r="E279" s="19">
        <v>1</v>
      </c>
      <c r="F279" s="15">
        <v>199.99</v>
      </c>
      <c r="G279" s="15">
        <v>199.99</v>
      </c>
      <c r="H279" s="7" t="s">
        <v>676</v>
      </c>
      <c r="I279" s="7" t="s">
        <v>680</v>
      </c>
      <c r="J279" s="7" t="s">
        <v>816</v>
      </c>
      <c r="K279" s="7"/>
    </row>
    <row r="280" spans="1:11" ht="20.100000000000001" customHeight="1" x14ac:dyDescent="0.25">
      <c r="A280" s="13" t="s">
        <v>160</v>
      </c>
      <c r="B280" s="14">
        <v>13810619</v>
      </c>
      <c r="C280" s="8">
        <v>733003475987</v>
      </c>
      <c r="D280" s="6" t="s">
        <v>84</v>
      </c>
      <c r="E280" s="19">
        <v>1</v>
      </c>
      <c r="F280" s="15">
        <v>29.99</v>
      </c>
      <c r="G280" s="15">
        <v>29.99</v>
      </c>
      <c r="H280" s="7" t="s">
        <v>784</v>
      </c>
      <c r="I280" s="7" t="s">
        <v>904</v>
      </c>
      <c r="J280" s="7" t="s">
        <v>871</v>
      </c>
      <c r="K280" s="7"/>
    </row>
    <row r="281" spans="1:11" ht="20.100000000000001" customHeight="1" x14ac:dyDescent="0.25">
      <c r="A281" s="13" t="s">
        <v>160</v>
      </c>
      <c r="B281" s="14">
        <v>13810619</v>
      </c>
      <c r="C281" s="8">
        <v>191790054103</v>
      </c>
      <c r="D281" s="6" t="s">
        <v>507</v>
      </c>
      <c r="E281" s="19">
        <v>1</v>
      </c>
      <c r="F281" s="15">
        <v>49.99</v>
      </c>
      <c r="G281" s="15">
        <v>49.99</v>
      </c>
      <c r="H281" s="7" t="s">
        <v>766</v>
      </c>
      <c r="I281" s="7" t="s">
        <v>666</v>
      </c>
      <c r="J281" s="7" t="s">
        <v>706</v>
      </c>
      <c r="K281" s="7"/>
    </row>
    <row r="282" spans="1:11" ht="20.100000000000001" customHeight="1" x14ac:dyDescent="0.25">
      <c r="A282" s="13" t="s">
        <v>160</v>
      </c>
      <c r="B282" s="14">
        <v>13810619</v>
      </c>
      <c r="C282" s="8">
        <v>733003879075</v>
      </c>
      <c r="D282" s="6" t="s">
        <v>85</v>
      </c>
      <c r="E282" s="19">
        <v>1</v>
      </c>
      <c r="F282" s="15">
        <v>29.99</v>
      </c>
      <c r="G282" s="15">
        <v>29.99</v>
      </c>
      <c r="H282" s="7" t="s">
        <v>701</v>
      </c>
      <c r="I282" s="7" t="s">
        <v>1236</v>
      </c>
      <c r="J282" s="7" t="s">
        <v>86</v>
      </c>
      <c r="K282" s="7"/>
    </row>
    <row r="283" spans="1:11" ht="20.100000000000001" customHeight="1" x14ac:dyDescent="0.25">
      <c r="A283" s="13" t="s">
        <v>160</v>
      </c>
      <c r="B283" s="14">
        <v>13810619</v>
      </c>
      <c r="C283" s="8">
        <v>735732250453</v>
      </c>
      <c r="D283" s="6" t="s">
        <v>87</v>
      </c>
      <c r="E283" s="19">
        <v>1</v>
      </c>
      <c r="F283" s="15">
        <v>25.99</v>
      </c>
      <c r="G283" s="15">
        <v>25.99</v>
      </c>
      <c r="H283" s="7" t="s">
        <v>671</v>
      </c>
      <c r="I283" s="7" t="s">
        <v>682</v>
      </c>
      <c r="J283" s="7" t="s">
        <v>868</v>
      </c>
      <c r="K283" s="7"/>
    </row>
    <row r="284" spans="1:11" ht="20.100000000000001" customHeight="1" x14ac:dyDescent="0.25">
      <c r="A284" s="13" t="s">
        <v>160</v>
      </c>
      <c r="B284" s="14">
        <v>13810619</v>
      </c>
      <c r="C284" s="8">
        <v>735732250453</v>
      </c>
      <c r="D284" s="6" t="s">
        <v>87</v>
      </c>
      <c r="E284" s="19">
        <v>1</v>
      </c>
      <c r="F284" s="15">
        <v>25.99</v>
      </c>
      <c r="G284" s="15">
        <v>25.99</v>
      </c>
      <c r="H284" s="7" t="s">
        <v>671</v>
      </c>
      <c r="I284" s="7" t="s">
        <v>682</v>
      </c>
      <c r="J284" s="7" t="s">
        <v>868</v>
      </c>
      <c r="K284" s="7"/>
    </row>
    <row r="285" spans="1:11" ht="20.100000000000001" customHeight="1" x14ac:dyDescent="0.25">
      <c r="A285" s="13" t="s">
        <v>160</v>
      </c>
      <c r="B285" s="14">
        <v>13810619</v>
      </c>
      <c r="C285" s="8">
        <v>733002874927</v>
      </c>
      <c r="D285" s="6" t="s">
        <v>88</v>
      </c>
      <c r="E285" s="19">
        <v>1</v>
      </c>
      <c r="F285" s="15">
        <v>299.99</v>
      </c>
      <c r="G285" s="15">
        <v>299.99</v>
      </c>
      <c r="H285" s="7" t="s">
        <v>668</v>
      </c>
      <c r="I285" s="7" t="s">
        <v>680</v>
      </c>
      <c r="J285" s="7" t="s">
        <v>816</v>
      </c>
      <c r="K285" s="7"/>
    </row>
    <row r="286" spans="1:11" ht="20.100000000000001" customHeight="1" x14ac:dyDescent="0.25">
      <c r="A286" s="13" t="s">
        <v>160</v>
      </c>
      <c r="B286" s="14">
        <v>13810619</v>
      </c>
      <c r="C286" s="8">
        <v>194938026345</v>
      </c>
      <c r="D286" s="6" t="s">
        <v>89</v>
      </c>
      <c r="E286" s="19">
        <v>2</v>
      </c>
      <c r="F286" s="15">
        <v>39.99</v>
      </c>
      <c r="G286" s="15">
        <v>79.98</v>
      </c>
      <c r="H286" s="7" t="s">
        <v>668</v>
      </c>
      <c r="I286" s="7" t="s">
        <v>674</v>
      </c>
      <c r="J286" s="7" t="s">
        <v>675</v>
      </c>
      <c r="K286" s="7"/>
    </row>
    <row r="287" spans="1:11" ht="20.100000000000001" customHeight="1" x14ac:dyDescent="0.25">
      <c r="A287" s="13" t="s">
        <v>160</v>
      </c>
      <c r="B287" s="14">
        <v>13810619</v>
      </c>
      <c r="C287" s="8">
        <v>651896660078</v>
      </c>
      <c r="D287" s="6" t="s">
        <v>1256</v>
      </c>
      <c r="E287" s="19">
        <v>3</v>
      </c>
      <c r="F287" s="15">
        <v>24.99</v>
      </c>
      <c r="G287" s="15">
        <v>74.97</v>
      </c>
      <c r="H287" s="7"/>
      <c r="I287" s="7" t="s">
        <v>674</v>
      </c>
      <c r="J287" s="7" t="s">
        <v>927</v>
      </c>
      <c r="K287" s="7"/>
    </row>
    <row r="288" spans="1:11" ht="20.100000000000001" customHeight="1" x14ac:dyDescent="0.25">
      <c r="A288" s="13" t="s">
        <v>160</v>
      </c>
      <c r="B288" s="14">
        <v>13810619</v>
      </c>
      <c r="C288" s="8">
        <v>733003878313</v>
      </c>
      <c r="D288" s="6" t="s">
        <v>90</v>
      </c>
      <c r="E288" s="19">
        <v>1</v>
      </c>
      <c r="F288" s="15">
        <v>39.99</v>
      </c>
      <c r="G288" s="15">
        <v>39.99</v>
      </c>
      <c r="H288" s="7" t="s">
        <v>768</v>
      </c>
      <c r="I288" s="7" t="s">
        <v>1236</v>
      </c>
      <c r="J288" s="7" t="s">
        <v>147</v>
      </c>
      <c r="K288" s="7"/>
    </row>
    <row r="289" spans="1:11" ht="20.100000000000001" customHeight="1" x14ac:dyDescent="0.25">
      <c r="A289" s="13" t="s">
        <v>160</v>
      </c>
      <c r="B289" s="14">
        <v>13810619</v>
      </c>
      <c r="C289" s="8">
        <v>734737686328</v>
      </c>
      <c r="D289" s="6" t="s">
        <v>91</v>
      </c>
      <c r="E289" s="19">
        <v>1</v>
      </c>
      <c r="F289" s="15">
        <v>49.99</v>
      </c>
      <c r="G289" s="15">
        <v>49.99</v>
      </c>
      <c r="H289" s="7" t="s">
        <v>704</v>
      </c>
      <c r="I289" s="7" t="s">
        <v>672</v>
      </c>
      <c r="J289" s="7" t="s">
        <v>696</v>
      </c>
      <c r="K289" s="7"/>
    </row>
    <row r="290" spans="1:11" ht="20.100000000000001" customHeight="1" x14ac:dyDescent="0.25">
      <c r="A290" s="13" t="s">
        <v>160</v>
      </c>
      <c r="B290" s="14">
        <v>13810619</v>
      </c>
      <c r="C290" s="8">
        <v>733003891671</v>
      </c>
      <c r="D290" s="6" t="s">
        <v>92</v>
      </c>
      <c r="E290" s="19">
        <v>1</v>
      </c>
      <c r="F290" s="15">
        <v>34.99</v>
      </c>
      <c r="G290" s="15">
        <v>34.99</v>
      </c>
      <c r="H290" s="7" t="s">
        <v>1021</v>
      </c>
      <c r="I290" s="7" t="s">
        <v>1236</v>
      </c>
      <c r="J290" s="7" t="s">
        <v>147</v>
      </c>
      <c r="K290" s="7"/>
    </row>
    <row r="291" spans="1:11" ht="20.100000000000001" customHeight="1" x14ac:dyDescent="0.25">
      <c r="A291" s="13" t="s">
        <v>160</v>
      </c>
      <c r="B291" s="14">
        <v>13810619</v>
      </c>
      <c r="C291" s="8">
        <v>733003892098</v>
      </c>
      <c r="D291" s="6" t="s">
        <v>92</v>
      </c>
      <c r="E291" s="19">
        <v>1</v>
      </c>
      <c r="F291" s="15">
        <v>34.99</v>
      </c>
      <c r="G291" s="15">
        <v>34.99</v>
      </c>
      <c r="H291" s="7" t="s">
        <v>1021</v>
      </c>
      <c r="I291" s="7" t="s">
        <v>1236</v>
      </c>
      <c r="J291" s="7" t="s">
        <v>147</v>
      </c>
      <c r="K291" s="7"/>
    </row>
    <row r="292" spans="1:11" ht="20.100000000000001" customHeight="1" x14ac:dyDescent="0.25">
      <c r="A292" s="13" t="s">
        <v>160</v>
      </c>
      <c r="B292" s="14">
        <v>13810619</v>
      </c>
      <c r="C292" s="8">
        <v>733003895549</v>
      </c>
      <c r="D292" s="6" t="s">
        <v>93</v>
      </c>
      <c r="E292" s="19">
        <v>1</v>
      </c>
      <c r="F292" s="15">
        <v>99.99</v>
      </c>
      <c r="G292" s="15">
        <v>99.99</v>
      </c>
      <c r="H292" s="7" t="s">
        <v>784</v>
      </c>
      <c r="I292" s="7" t="s">
        <v>1236</v>
      </c>
      <c r="J292" s="7" t="s">
        <v>147</v>
      </c>
      <c r="K292" s="7"/>
    </row>
    <row r="293" spans="1:11" ht="20.100000000000001" customHeight="1" x14ac:dyDescent="0.25">
      <c r="A293" s="13" t="s">
        <v>160</v>
      </c>
      <c r="B293" s="14">
        <v>13810619</v>
      </c>
      <c r="C293" s="8">
        <v>734737674158</v>
      </c>
      <c r="D293" s="6" t="s">
        <v>94</v>
      </c>
      <c r="E293" s="19">
        <v>1</v>
      </c>
      <c r="F293" s="15">
        <v>109.99</v>
      </c>
      <c r="G293" s="15">
        <v>109.99</v>
      </c>
      <c r="H293" s="7" t="s">
        <v>688</v>
      </c>
      <c r="I293" s="7" t="s">
        <v>672</v>
      </c>
      <c r="J293" s="7" t="s">
        <v>696</v>
      </c>
      <c r="K293" s="7"/>
    </row>
    <row r="294" spans="1:11" ht="20.100000000000001" customHeight="1" x14ac:dyDescent="0.25">
      <c r="A294" s="13" t="s">
        <v>160</v>
      </c>
      <c r="B294" s="14">
        <v>13810619</v>
      </c>
      <c r="C294" s="8">
        <v>733003225216</v>
      </c>
      <c r="D294" s="6" t="s">
        <v>95</v>
      </c>
      <c r="E294" s="19">
        <v>2</v>
      </c>
      <c r="F294" s="15">
        <v>79.989999999999995</v>
      </c>
      <c r="G294" s="15">
        <v>159.97999999999999</v>
      </c>
      <c r="H294" s="7" t="s">
        <v>768</v>
      </c>
      <c r="I294" s="7" t="s">
        <v>680</v>
      </c>
      <c r="J294" s="7" t="s">
        <v>733</v>
      </c>
      <c r="K294" s="7"/>
    </row>
    <row r="295" spans="1:11" ht="20.100000000000001" customHeight="1" x14ac:dyDescent="0.25">
      <c r="A295" s="13" t="s">
        <v>160</v>
      </c>
      <c r="B295" s="14">
        <v>13810619</v>
      </c>
      <c r="C295" s="8">
        <v>32281186081</v>
      </c>
      <c r="D295" s="6" t="s">
        <v>96</v>
      </c>
      <c r="E295" s="19">
        <v>2</v>
      </c>
      <c r="F295" s="15">
        <v>79.989999999999995</v>
      </c>
      <c r="G295" s="15">
        <v>159.97999999999999</v>
      </c>
      <c r="H295" s="7"/>
      <c r="I295" s="7" t="s">
        <v>1294</v>
      </c>
      <c r="J295" s="7" t="s">
        <v>898</v>
      </c>
      <c r="K295" s="7"/>
    </row>
    <row r="296" spans="1:11" ht="20.100000000000001" customHeight="1" x14ac:dyDescent="0.25">
      <c r="A296" s="13" t="s">
        <v>160</v>
      </c>
      <c r="B296" s="14">
        <v>13810619</v>
      </c>
      <c r="C296" s="8">
        <v>194938025577</v>
      </c>
      <c r="D296" s="6" t="s">
        <v>97</v>
      </c>
      <c r="E296" s="19">
        <v>1</v>
      </c>
      <c r="F296" s="15">
        <v>69.989999999999995</v>
      </c>
      <c r="G296" s="15">
        <v>69.989999999999995</v>
      </c>
      <c r="H296" s="7" t="s">
        <v>668</v>
      </c>
      <c r="I296" s="7" t="s">
        <v>674</v>
      </c>
      <c r="J296" s="7" t="s">
        <v>675</v>
      </c>
      <c r="K296" s="7"/>
    </row>
    <row r="297" spans="1:11" ht="20.100000000000001" customHeight="1" x14ac:dyDescent="0.25">
      <c r="A297" s="13" t="s">
        <v>160</v>
      </c>
      <c r="B297" s="14">
        <v>13810619</v>
      </c>
      <c r="C297" s="8">
        <v>733003227982</v>
      </c>
      <c r="D297" s="6" t="s">
        <v>98</v>
      </c>
      <c r="E297" s="19">
        <v>1</v>
      </c>
      <c r="F297" s="15">
        <v>74.989999999999995</v>
      </c>
      <c r="G297" s="15">
        <v>74.989999999999995</v>
      </c>
      <c r="H297" s="7" t="s">
        <v>768</v>
      </c>
      <c r="I297" s="7" t="s">
        <v>680</v>
      </c>
      <c r="J297" s="7" t="s">
        <v>747</v>
      </c>
      <c r="K297" s="7"/>
    </row>
    <row r="298" spans="1:11" ht="20.100000000000001" customHeight="1" x14ac:dyDescent="0.25">
      <c r="A298" s="13" t="s">
        <v>160</v>
      </c>
      <c r="B298" s="14">
        <v>13810619</v>
      </c>
      <c r="C298" s="8">
        <v>733003023577</v>
      </c>
      <c r="D298" s="6" t="s">
        <v>99</v>
      </c>
      <c r="E298" s="19">
        <v>1</v>
      </c>
      <c r="F298" s="15">
        <v>79.989999999999995</v>
      </c>
      <c r="G298" s="15">
        <v>79.989999999999995</v>
      </c>
      <c r="H298" s="7" t="s">
        <v>704</v>
      </c>
      <c r="I298" s="7" t="s">
        <v>680</v>
      </c>
      <c r="J298" s="7" t="s">
        <v>733</v>
      </c>
      <c r="K298" s="7"/>
    </row>
    <row r="299" spans="1:11" ht="20.100000000000001" customHeight="1" x14ac:dyDescent="0.25">
      <c r="A299" s="13" t="s">
        <v>160</v>
      </c>
      <c r="B299" s="14">
        <v>13810619</v>
      </c>
      <c r="C299" s="8">
        <v>869598000263</v>
      </c>
      <c r="D299" s="6" t="s">
        <v>100</v>
      </c>
      <c r="E299" s="19">
        <v>1</v>
      </c>
      <c r="F299" s="15">
        <v>28.99</v>
      </c>
      <c r="G299" s="15">
        <v>28.99</v>
      </c>
      <c r="H299" s="7" t="s">
        <v>440</v>
      </c>
      <c r="I299" s="7" t="s">
        <v>666</v>
      </c>
      <c r="J299" s="7" t="s">
        <v>806</v>
      </c>
      <c r="K299" s="7"/>
    </row>
    <row r="300" spans="1:11" ht="20.100000000000001" customHeight="1" x14ac:dyDescent="0.25">
      <c r="A300" s="13" t="s">
        <v>160</v>
      </c>
      <c r="B300" s="14">
        <v>13810619</v>
      </c>
      <c r="C300" s="8">
        <v>733003657369</v>
      </c>
      <c r="D300" s="6" t="s">
        <v>101</v>
      </c>
      <c r="E300" s="19">
        <v>1</v>
      </c>
      <c r="F300" s="15">
        <v>79.989999999999995</v>
      </c>
      <c r="G300" s="15">
        <v>79.989999999999995</v>
      </c>
      <c r="H300" s="7" t="s">
        <v>676</v>
      </c>
      <c r="I300" s="7" t="s">
        <v>680</v>
      </c>
      <c r="J300" s="7" t="s">
        <v>733</v>
      </c>
      <c r="K300" s="7"/>
    </row>
    <row r="301" spans="1:11" ht="20.100000000000001" customHeight="1" x14ac:dyDescent="0.25">
      <c r="A301" s="13" t="s">
        <v>160</v>
      </c>
      <c r="B301" s="14">
        <v>13810619</v>
      </c>
      <c r="C301" s="8">
        <v>733003938024</v>
      </c>
      <c r="D301" s="6" t="s">
        <v>102</v>
      </c>
      <c r="E301" s="19">
        <v>1</v>
      </c>
      <c r="F301" s="15">
        <v>199.99</v>
      </c>
      <c r="G301" s="15">
        <v>199.99</v>
      </c>
      <c r="H301" s="7" t="s">
        <v>668</v>
      </c>
      <c r="I301" s="7" t="s">
        <v>797</v>
      </c>
      <c r="J301" s="7" t="s">
        <v>798</v>
      </c>
      <c r="K301" s="7"/>
    </row>
    <row r="302" spans="1:11" ht="20.100000000000001" customHeight="1" x14ac:dyDescent="0.25">
      <c r="A302" s="13" t="s">
        <v>160</v>
      </c>
      <c r="B302" s="14">
        <v>13810619</v>
      </c>
      <c r="C302" s="8">
        <v>733003938024</v>
      </c>
      <c r="D302" s="6" t="s">
        <v>102</v>
      </c>
      <c r="E302" s="19">
        <v>1</v>
      </c>
      <c r="F302" s="15">
        <v>199.99</v>
      </c>
      <c r="G302" s="15">
        <v>199.99</v>
      </c>
      <c r="H302" s="7" t="s">
        <v>668</v>
      </c>
      <c r="I302" s="7" t="s">
        <v>797</v>
      </c>
      <c r="J302" s="7" t="s">
        <v>798</v>
      </c>
      <c r="K302" s="7"/>
    </row>
    <row r="303" spans="1:11" ht="20.100000000000001" customHeight="1" x14ac:dyDescent="0.25">
      <c r="A303" s="13" t="s">
        <v>160</v>
      </c>
      <c r="B303" s="14">
        <v>13810619</v>
      </c>
      <c r="C303" s="8">
        <v>29927586558</v>
      </c>
      <c r="D303" s="6" t="s">
        <v>103</v>
      </c>
      <c r="E303" s="19">
        <v>1</v>
      </c>
      <c r="F303" s="15">
        <v>29.99</v>
      </c>
      <c r="G303" s="15">
        <v>29.99</v>
      </c>
      <c r="H303" s="7" t="s">
        <v>773</v>
      </c>
      <c r="I303" s="7" t="s">
        <v>674</v>
      </c>
      <c r="J303" s="7" t="s">
        <v>702</v>
      </c>
      <c r="K303" s="7"/>
    </row>
    <row r="304" spans="1:11" ht="20.100000000000001" customHeight="1" x14ac:dyDescent="0.25">
      <c r="A304" s="13" t="s">
        <v>160</v>
      </c>
      <c r="B304" s="14">
        <v>13810619</v>
      </c>
      <c r="C304" s="8">
        <v>733003499365</v>
      </c>
      <c r="D304" s="6" t="s">
        <v>104</v>
      </c>
      <c r="E304" s="19">
        <v>1</v>
      </c>
      <c r="F304" s="15">
        <v>119.99</v>
      </c>
      <c r="G304" s="15">
        <v>119.99</v>
      </c>
      <c r="H304" s="7" t="s">
        <v>668</v>
      </c>
      <c r="I304" s="7" t="s">
        <v>797</v>
      </c>
      <c r="J304" s="7" t="s">
        <v>825</v>
      </c>
      <c r="K304" s="7"/>
    </row>
    <row r="305" spans="1:11" ht="20.100000000000001" customHeight="1" x14ac:dyDescent="0.25">
      <c r="A305" s="13" t="s">
        <v>160</v>
      </c>
      <c r="B305" s="14">
        <v>13810619</v>
      </c>
      <c r="C305" s="8">
        <v>64247037144</v>
      </c>
      <c r="D305" s="6" t="s">
        <v>105</v>
      </c>
      <c r="E305" s="19">
        <v>1</v>
      </c>
      <c r="F305" s="15">
        <v>137.99</v>
      </c>
      <c r="G305" s="15">
        <v>137.99</v>
      </c>
      <c r="H305" s="7" t="s">
        <v>732</v>
      </c>
      <c r="I305" s="7" t="s">
        <v>674</v>
      </c>
      <c r="J305" s="7" t="s">
        <v>755</v>
      </c>
      <c r="K305" s="7"/>
    </row>
    <row r="306" spans="1:11" ht="20.100000000000001" customHeight="1" x14ac:dyDescent="0.25">
      <c r="A306" s="13" t="s">
        <v>160</v>
      </c>
      <c r="B306" s="14">
        <v>13810619</v>
      </c>
      <c r="C306" s="8">
        <v>86569476326</v>
      </c>
      <c r="D306" s="6" t="s">
        <v>106</v>
      </c>
      <c r="E306" s="19">
        <v>2</v>
      </c>
      <c r="F306" s="15">
        <v>13.99</v>
      </c>
      <c r="G306" s="15">
        <v>27.98</v>
      </c>
      <c r="H306" s="7" t="s">
        <v>708</v>
      </c>
      <c r="I306" s="7" t="s">
        <v>674</v>
      </c>
      <c r="J306" s="7" t="s">
        <v>679</v>
      </c>
      <c r="K306" s="7"/>
    </row>
    <row r="307" spans="1:11" ht="20.100000000000001" customHeight="1" x14ac:dyDescent="0.25">
      <c r="A307" s="13" t="s">
        <v>160</v>
      </c>
      <c r="B307" s="14">
        <v>13810619</v>
      </c>
      <c r="C307" s="8">
        <v>86569394446</v>
      </c>
      <c r="D307" s="6" t="s">
        <v>107</v>
      </c>
      <c r="E307" s="19">
        <v>1</v>
      </c>
      <c r="F307" s="15">
        <v>94.99</v>
      </c>
      <c r="G307" s="15">
        <v>94.99</v>
      </c>
      <c r="H307" s="7" t="s">
        <v>671</v>
      </c>
      <c r="I307" s="7" t="s">
        <v>723</v>
      </c>
      <c r="J307" s="7" t="s">
        <v>781</v>
      </c>
      <c r="K307" s="7"/>
    </row>
    <row r="308" spans="1:11" ht="20.100000000000001" customHeight="1" x14ac:dyDescent="0.25">
      <c r="A308" s="13" t="s">
        <v>160</v>
      </c>
      <c r="B308" s="14">
        <v>13810619</v>
      </c>
      <c r="C308" s="8">
        <v>191790054080</v>
      </c>
      <c r="D308" s="6" t="s">
        <v>1288</v>
      </c>
      <c r="E308" s="19">
        <v>1</v>
      </c>
      <c r="F308" s="15">
        <v>49.99</v>
      </c>
      <c r="G308" s="15">
        <v>49.99</v>
      </c>
      <c r="H308" s="7" t="s">
        <v>698</v>
      </c>
      <c r="I308" s="7" t="s">
        <v>666</v>
      </c>
      <c r="J308" s="7" t="s">
        <v>706</v>
      </c>
      <c r="K308" s="7"/>
    </row>
    <row r="309" spans="1:11" ht="20.100000000000001" customHeight="1" x14ac:dyDescent="0.25">
      <c r="A309" s="13" t="s">
        <v>160</v>
      </c>
      <c r="B309" s="14">
        <v>13810619</v>
      </c>
      <c r="C309" s="8">
        <v>733003963460</v>
      </c>
      <c r="D309" s="6" t="s">
        <v>108</v>
      </c>
      <c r="E309" s="19">
        <v>1</v>
      </c>
      <c r="F309" s="15">
        <v>39.99</v>
      </c>
      <c r="G309" s="15">
        <v>39.99</v>
      </c>
      <c r="H309" s="7" t="s">
        <v>676</v>
      </c>
      <c r="I309" s="7" t="s">
        <v>808</v>
      </c>
      <c r="J309" s="7" t="s">
        <v>146</v>
      </c>
      <c r="K309" s="7"/>
    </row>
    <row r="310" spans="1:11" ht="20.100000000000001" customHeight="1" x14ac:dyDescent="0.25">
      <c r="A310" s="13" t="s">
        <v>160</v>
      </c>
      <c r="B310" s="14">
        <v>13810619</v>
      </c>
      <c r="C310" s="8">
        <v>96675735620</v>
      </c>
      <c r="D310" s="6" t="s">
        <v>109</v>
      </c>
      <c r="E310" s="19">
        <v>1</v>
      </c>
      <c r="F310" s="15">
        <v>51.99</v>
      </c>
      <c r="G310" s="15">
        <v>51.99</v>
      </c>
      <c r="H310" s="7" t="s">
        <v>671</v>
      </c>
      <c r="I310" s="7" t="s">
        <v>669</v>
      </c>
      <c r="J310" s="7" t="s">
        <v>787</v>
      </c>
      <c r="K310" s="7"/>
    </row>
    <row r="311" spans="1:11" ht="20.100000000000001" customHeight="1" x14ac:dyDescent="0.25">
      <c r="A311" s="13" t="s">
        <v>160</v>
      </c>
      <c r="B311" s="14">
        <v>13810619</v>
      </c>
      <c r="C311" s="8">
        <v>86569720085</v>
      </c>
      <c r="D311" s="6" t="s">
        <v>110</v>
      </c>
      <c r="E311" s="19">
        <v>1</v>
      </c>
      <c r="F311" s="15">
        <v>179.99</v>
      </c>
      <c r="G311" s="15">
        <v>179.99</v>
      </c>
      <c r="H311" s="7" t="s">
        <v>668</v>
      </c>
      <c r="I311" s="7" t="s">
        <v>672</v>
      </c>
      <c r="J311" s="7" t="s">
        <v>679</v>
      </c>
      <c r="K311" s="7"/>
    </row>
    <row r="312" spans="1:11" ht="20.100000000000001" customHeight="1" x14ac:dyDescent="0.25">
      <c r="A312" s="13" t="s">
        <v>160</v>
      </c>
      <c r="B312" s="14">
        <v>13810619</v>
      </c>
      <c r="C312" s="8">
        <v>788904005405</v>
      </c>
      <c r="D312" s="6" t="s">
        <v>111</v>
      </c>
      <c r="E312" s="19">
        <v>2</v>
      </c>
      <c r="F312" s="15">
        <v>69.989999999999995</v>
      </c>
      <c r="G312" s="15">
        <v>139.97999999999999</v>
      </c>
      <c r="H312" s="7" t="s">
        <v>668</v>
      </c>
      <c r="I312" s="7" t="s">
        <v>669</v>
      </c>
      <c r="J312" s="7" t="s">
        <v>685</v>
      </c>
      <c r="K312" s="7"/>
    </row>
    <row r="313" spans="1:11" ht="20.100000000000001" customHeight="1" x14ac:dyDescent="0.25">
      <c r="A313" s="13" t="s">
        <v>160</v>
      </c>
      <c r="B313" s="14">
        <v>13810619</v>
      </c>
      <c r="C313" s="8">
        <v>96675200715</v>
      </c>
      <c r="D313" s="6" t="s">
        <v>112</v>
      </c>
      <c r="E313" s="19">
        <v>1</v>
      </c>
      <c r="F313" s="15">
        <v>52.99</v>
      </c>
      <c r="G313" s="15">
        <v>52.99</v>
      </c>
      <c r="H313" s="7" t="s">
        <v>671</v>
      </c>
      <c r="I313" s="7" t="s">
        <v>736</v>
      </c>
      <c r="J313" s="7" t="s">
        <v>787</v>
      </c>
      <c r="K313" s="7"/>
    </row>
    <row r="314" spans="1:11" ht="20.100000000000001" customHeight="1" x14ac:dyDescent="0.25">
      <c r="A314" s="13" t="s">
        <v>160</v>
      </c>
      <c r="B314" s="14">
        <v>13810619</v>
      </c>
      <c r="C314" s="8">
        <v>733002552337</v>
      </c>
      <c r="D314" s="6" t="s">
        <v>945</v>
      </c>
      <c r="E314" s="19">
        <v>2</v>
      </c>
      <c r="F314" s="15">
        <v>78.11</v>
      </c>
      <c r="G314" s="15">
        <v>156.22</v>
      </c>
      <c r="H314" s="7" t="s">
        <v>668</v>
      </c>
      <c r="I314" s="7" t="s">
        <v>777</v>
      </c>
      <c r="J314" s="7" t="s">
        <v>800</v>
      </c>
      <c r="K314" s="7"/>
    </row>
    <row r="315" spans="1:11" ht="20.100000000000001" customHeight="1" x14ac:dyDescent="0.25">
      <c r="A315" s="13" t="s">
        <v>160</v>
      </c>
      <c r="B315" s="14">
        <v>13810619</v>
      </c>
      <c r="C315" s="8">
        <v>848971002292</v>
      </c>
      <c r="D315" s="6" t="s">
        <v>113</v>
      </c>
      <c r="E315" s="19">
        <v>1</v>
      </c>
      <c r="F315" s="15">
        <v>50</v>
      </c>
      <c r="G315" s="15">
        <v>50</v>
      </c>
      <c r="H315" s="7" t="s">
        <v>714</v>
      </c>
      <c r="I315" s="7" t="s">
        <v>669</v>
      </c>
      <c r="J315" s="7" t="s">
        <v>802</v>
      </c>
      <c r="K315" s="7"/>
    </row>
    <row r="316" spans="1:11" ht="20.100000000000001" customHeight="1" x14ac:dyDescent="0.25">
      <c r="C316" s="16"/>
      <c r="E316" s="16">
        <f>SUM(E2:E315)</f>
        <v>400</v>
      </c>
      <c r="G316" s="24">
        <f>SUM(G2:G315)</f>
        <v>30309.800000000123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 </vt:lpstr>
      <vt:lpstr>13815672</vt:lpstr>
      <vt:lpstr>13814657</vt:lpstr>
      <vt:lpstr>13810619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2021-04-27T14:20:11Z</dcterms:created>
  <dcterms:modified xsi:type="dcterms:W3CDTF">2022-03-14T09:18:50Z</dcterms:modified>
</cp:coreProperties>
</file>